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P:\Documents\EICC conflict free\"/>
    </mc:Choice>
  </mc:AlternateContent>
  <xr:revisionPtr revIDLastSave="0" documentId="8_{DFB73ACC-4B71-4EC4-BDC5-8217AF1543A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<sst xmlns="http://schemas.openxmlformats.org/spreadsheetml/2006/main" count="22546" uniqueCount="15896">
  <si>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</si>
  <si>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</si>
  <si>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</si>
  <si>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</si>
  <si>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</si>
  <si>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</si>
  <si>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</si>
  <si>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</si>
  <si>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</si>
  <si>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</si>
  <si>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</si>
  <si>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</si>
  <si>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</si>
  <si>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</si>
  <si>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</si>
  <si>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</si>
  <si>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</si>
  <si>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</si>
  <si>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</si>
  <si>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</si>
  <si>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</si>
  <si>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</si>
  <si>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</si>
  <si>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</si>
  <si>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</si>
  <si>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</si>
  <si>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</si>
  <si>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</si>
  <si>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</si>
  <si>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</si>
  <si>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</si>
  <si>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</si>
  <si>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</si>
  <si>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</si>
  <si>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</si>
  <si>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</si>
  <si>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</si>
  <si>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</si>
  <si>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</si>
  <si>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</si>
  <si>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</si>
  <si>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</si>
  <si>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</si>
  <si>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</si>
  <si>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</si>
  <si>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</si>
  <si>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</si>
  <si>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</si>
  <si>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</si>
  <si>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</si>
  <si>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</si>
  <si>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</si>
  <si>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</si>
  <si>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</si>
  <si>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</si>
  <si>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</si>
  <si>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</si>
  <si>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</si>
  <si>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</si>
  <si>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</si>
  <si>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</si>
  <si>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</si>
  <si>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</si>
  <si>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</si>
  <si>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</si>
  <si>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</si>
  <si>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</si>
  <si>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</si>
  <si>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</si>
  <si>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</si>
  <si>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</si>
  <si>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</si>
  <si>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</si>
  <si>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</si>
  <si>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</si>
  <si>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</si>
  <si>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</si>
  <si>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</si>
  <si>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</si>
  <si>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</si>
  <si>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</si>
  <si>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</si>
  <si>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</si>
  <si>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</si>
  <si>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</si>
  <si>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</si>
  <si>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</si>
  <si>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</si>
  <si>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</si>
  <si>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</si>
  <si>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</si>
  <si>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</si>
  <si>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</si>
  <si>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</si>
  <si>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</si>
  <si>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</si>
  <si>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</si>
  <si>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</si>
  <si>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</si>
  <si>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</si>
  <si>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</si>
  <si>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</si>
  <si>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</si>
  <si>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</si>
  <si>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</si>
  <si>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</si>
  <si>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</si>
  <si>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</si>
  <si>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</si>
  <si>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</si>
  <si>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</si>
  <si>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</si>
  <si>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</si>
  <si>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</si>
  <si>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</si>
  <si>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</si>
  <si>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</si>
  <si>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</si>
  <si>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</si>
  <si>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</si>
  <si>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</si>
  <si>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</si>
  <si>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</si>
  <si>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</si>
  <si>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</si>
  <si>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</si>
  <si>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</si>
  <si>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</si>
  <si>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</si>
  <si>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</si>
  <si>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</si>
  <si>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</si>
  <si>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</si>
  <si>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</si>
  <si>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</si>
  <si>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</si>
  <si>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</si>
  <si>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</si>
  <si>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</si>
  <si>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</si>
  <si>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</si>
  <si>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</si>
  <si>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</si>
  <si>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</si>
  <si>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</si>
  <si>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</si>
  <si>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</si>
  <si>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</si>
  <si>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</si>
  <si>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</si>
  <si>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</si>
  <si>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</si>
  <si>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</si>
  <si>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</si>
  <si>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</si>
  <si>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</si>
  <si>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</si>
  <si>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</si>
  <si>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</si>
  <si>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</si>
  <si>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</si>
  <si>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</si>
  <si>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</si>
  <si>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</si>
  <si>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</si>
  <si>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</si>
  <si>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</si>
  <si>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</si>
  <si>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</si>
  <si>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</si>
  <si>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</si>
  <si>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</si>
  <si>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</si>
  <si>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</si>
  <si>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</si>
  <si>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</si>
  <si>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</si>
  <si>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</si>
  <si>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</si>
  <si>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</si>
  <si>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</si>
  <si>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</si>
  <si>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</si>
  <si>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</si>
  <si>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</si>
  <si>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</si>
  <si>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</si>
  <si>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</si>
  <si>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</si>
  <si>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</si>
  <si>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</si>
  <si>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</si>
  <si>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</si>
  <si>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</si>
  <si>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</si>
  <si>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</si>
  <si>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</si>
  <si>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</si>
  <si>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</si>
  <si>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</si>
  <si>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</si>
  <si>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</si>
  <si>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</si>
  <si>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</si>
  <si>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</si>
  <si>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</si>
  <si>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</si>
  <si>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</si>
  <si>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</si>
  <si>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</si>
  <si>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</si>
  <si>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</si>
  <si>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</si>
  <si>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</si>
  <si>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</si>
  <si>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</si>
  <si>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</si>
  <si>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</si>
  <si>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</si>
  <si>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</si>
  <si>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</si>
  <si>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</si>
  <si>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</si>
  <si>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</si>
  <si>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</si>
  <si>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</si>
  <si>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</si>
  <si>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</si>
  <si>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</si>
  <si>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</si>
  <si>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</si>
  <si>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</si>
  <si>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</si>
  <si>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</si>
  <si>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</si>
  <si>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</si>
  <si>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</si>
  <si>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</si>
  <si>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</si>
  <si>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</si>
  <si>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</si>
  <si>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</si>
  <si>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</si>
  <si>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</si>
  <si>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</si>
  <si>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</si>
  <si>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</si>
  <si>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</si>
  <si>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</si>
  <si>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</si>
  <si>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</si>
  <si>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</si>
  <si>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</si>
  <si>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</si>
  <si>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</si>
  <si>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</si>
  <si>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</si>
  <si>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</si>
  <si>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</si>
  <si>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</si>
  <si>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</si>
  <si>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</si>
  <si>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</si>
  <si>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</si>
  <si>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</si>
  <si>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</si>
  <si>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</si>
  <si>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</si>
  <si>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</si>
  <si>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</si>
  <si>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</si>
  <si>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</si>
  <si>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</si>
  <si>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</si>
  <si>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</si>
  <si>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</si>
  <si>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</si>
  <si>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</si>
  <si>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</si>
  <si>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</si>
  <si>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</si>
  <si>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</si>
  <si>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</si>
  <si>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</si>
  <si>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</si>
  <si>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</si>
  <si>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</si>
  <si>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</si>
  <si>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</si>
  <si>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</si>
  <si>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</si>
  <si>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</si>
  <si>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</si>
  <si>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</si>
  <si>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</si>
  <si>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</si>
  <si>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</si>
  <si>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</si>
  <si>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</si>
  <si>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</si>
  <si>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</si>
  <si>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</si>
  <si>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</si>
  <si>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</si>
  <si>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</si>
  <si>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</si>
  <si>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</si>
  <si>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</si>
  <si>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</si>
  <si>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</si>
  <si>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</si>
  <si>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</si>
  <si>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</si>
  <si>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</si>
  <si>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</si>
  <si>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</si>
  <si>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</si>
  <si>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</si>
  <si>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</si>
  <si>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</si>
  <si>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</si>
  <si>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</si>
  <si>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</si>
  <si>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</si>
  <si>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</si>
  <si>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</si>
  <si>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</si>
  <si>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</si>
  <si>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</si>
  <si>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</si>
  <si>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</si>
  <si>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</si>
  <si>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</si>
  <si>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</si>
  <si>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</si>
  <si>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</si>
  <si>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</si>
  <si>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</si>
  <si>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</si>
  <si>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</si>
  <si>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</si>
  <si>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</si>
  <si>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</si>
  <si>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</si>
  <si>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</si>
  <si>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</si>
  <si>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</si>
  <si>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</si>
  <si>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</si>
  <si>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</si>
  <si>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</si>
  <si>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</si>
  <si>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</si>
  <si>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</si>
  <si>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</si>
  <si>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</si>
  <si>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</si>
  <si>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</si>
  <si>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</si>
  <si>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</si>
  <si>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</si>
  <si>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</si>
  <si>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</si>
  <si>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</si>
  <si>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</si>
  <si>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</si>
  <si>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</si>
  <si>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</si>
  <si>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</si>
  <si>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</si>
  <si>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</si>
  <si>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</si>
  <si>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</si>
  <si>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</si>
  <si>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</si>
  <si>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</si>
  <si>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</si>
  <si>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</si>
  <si>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</si>
  <si>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</si>
  <si>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</si>
  <si>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</si>
  <si>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</si>
  <si>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</si>
  <si>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</si>
  <si>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</si>
  <si>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</si>
  <si>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</si>
  <si>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</si>
  <si>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</si>
  <si>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</si>
  <si>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</si>
  <si>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</si>
  <si>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</si>
  <si>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</si>
  <si>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</si>
  <si>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</si>
  <si>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</si>
  <si>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</si>
  <si>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</si>
  <si>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</si>
  <si>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</si>
  <si>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</si>
  <si>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</si>
  <si>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</si>
  <si>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</si>
  <si>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</si>
  <si>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</si>
  <si>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</si>
  <si>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</si>
  <si>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</si>
  <si>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</si>
  <si>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</si>
  <si>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</si>
  <si>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</si>
  <si>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</si>
  <si>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</si>
  <si>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</si>
  <si>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</si>
  <si>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</si>
  <si>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</si>
  <si>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</si>
  <si>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</si>
  <si>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</si>
  <si>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</si>
  <si>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</si>
  <si>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</si>
  <si>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</si>
  <si>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</si>
  <si>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</si>
  <si>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</si>
  <si>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</si>
  <si>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</si>
  <si>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</si>
  <si>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</si>
  <si>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</si>
  <si>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</si>
  <si>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</si>
  <si>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</si>
  <si>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</si>
  <si>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</si>
  <si>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</si>
  <si>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</si>
  <si>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</si>
  <si>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</si>
  <si>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</si>
  <si>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</si>
  <si>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</si>
  <si>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</si>
  <si>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</si>
  <si>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</si>
  <si>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</si>
  <si>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</si>
  <si>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</si>
  <si>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</si>
  <si>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</si>
  <si>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</si>
  <si>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</si>
  <si>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</si>
  <si>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</si>
  <si>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</si>
  <si>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</si>
  <si>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</si>
  <si>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</si>
  <si>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</si>
  <si>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</si>
  <si>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</si>
  <si>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</si>
  <si>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</si>
  <si>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</si>
  <si>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</si>
  <si>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</si>
  <si>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</si>
  <si>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</si>
  <si>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</si>
  <si>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</si>
  <si>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</si>
  <si>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</si>
  <si>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</si>
  <si>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</si>
  <si>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</si>
  <si>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</si>
  <si>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</si>
  <si>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</si>
  <si>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</si>
  <si>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</si>
  <si>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</si>
  <si>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</si>
  <si>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</si>
  <si>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</si>
  <si>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</si>
  <si>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</si>
  <si>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</si>
  <si>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</si>
  <si>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</si>
  <si>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</si>
  <si>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</si>
  <si>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</si>
  <si>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</si>
  <si>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</si>
  <si>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</si>
  <si>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</si>
  <si>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</si>
  <si>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</si>
  <si>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</si>
  <si>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</si>
  <si>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</si>
  <si>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</si>
  <si>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</si>
  <si>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</si>
  <si>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</si>
  <si>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</si>
  <si>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</si>
  <si>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</si>
  <si>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</si>
  <si>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</si>
  <si>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</si>
  <si>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</si>
  <si>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</si>
  <si>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</si>
  <si>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</si>
  <si>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</si>
  <si>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</si>
  <si>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</si>
  <si>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</si>
  <si>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</si>
  <si>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</si>
  <si>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</si>
  <si>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</si>
  <si>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</si>
  <si>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</si>
  <si>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</si>
  <si>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</si>
  <si>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</si>
  <si>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</si>
  <si>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</si>
  <si>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</si>
  <si>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</si>
  <si>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</si>
  <si>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</si>
  <si>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</si>
  <si>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</si>
  <si>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</si>
  <si>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</si>
  <si>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</si>
  <si>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</si>
  <si>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</si>
  <si>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</si>
  <si>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</si>
  <si>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</si>
  <si>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</si>
  <si>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</si>
  <si>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</si>
  <si>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</si>
  <si>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</si>
  <si>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</si>
  <si>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</si>
  <si>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</si>
  <si>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</si>
  <si>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</si>
  <si>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</si>
  <si>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</si>
  <si>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</si>
  <si>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</si>
  <si>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</si>
  <si>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</si>
  <si>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</si>
  <si>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</si>
  <si>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</si>
  <si>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</si>
  <si>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</si>
  <si>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</si>
  <si>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</si>
  <si>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</si>
  <si>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</si>
  <si>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</si>
  <si>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</si>
  <si>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</si>
  <si>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</si>
  <si>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</si>
  <si>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</si>
  <si>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</si>
  <si>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</si>
  <si>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</si>
  <si>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</si>
  <si>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</si>
  <si>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</si>
  <si>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</si>
  <si>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</si>
  <si>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</si>
  <si>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</si>
  <si>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</si>
  <si>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</si>
  <si>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</si>
  <si>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</si>
  <si>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</si>
  <si>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</si>
  <si>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</si>
  <si>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</si>
  <si>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</si>
  <si>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</si>
  <si>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</si>
  <si>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</si>
  <si>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</si>
  <si>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</si>
  <si>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</si>
  <si>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</si>
  <si>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</si>
  <si>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</si>
  <si>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</si>
  <si>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</si>
  <si>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</si>
  <si>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</si>
  <si>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</si>
  <si>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</si>
  <si>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</si>
  <si>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</si>
  <si>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</si>
  <si>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</si>
  <si>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</si>
  <si>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</si>
  <si>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</si>
  <si>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</si>
  <si>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</si>
  <si>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</si>
  <si>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</si>
  <si>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</si>
  <si>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</si>
  <si>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</si>
  <si>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</si>
  <si>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</si>
  <si>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</si>
  <si>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</si>
  <si>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</si>
  <si>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</si>
  <si>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</si>
  <si>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</si>
  <si>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</si>
  <si>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</si>
  <si>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</si>
  <si>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</si>
  <si>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</si>
  <si>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</si>
  <si>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</si>
  <si>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</si>
  <si>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</si>
  <si>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</si>
  <si>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</si>
  <si>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</si>
  <si>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</si>
  <si>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</si>
  <si>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</si>
  <si>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</si>
  <si>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</si>
  <si>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</si>
  <si>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</si>
  <si>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</si>
  <si>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</si>
  <si>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</si>
  <si>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</si>
  <si>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</si>
  <si>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</si>
  <si>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</si>
  <si>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</si>
  <si>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</si>
  <si>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</si>
  <si>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</si>
  <si>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</si>
  <si>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</si>
  <si>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</si>
  <si>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</si>
  <si>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</si>
  <si>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</si>
  <si>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</si>
  <si>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</si>
  <si>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</si>
  <si>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</si>
  <si>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</si>
  <si>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</si>
  <si>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</si>
  <si>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</si>
  <si>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</si>
  <si>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</si>
  <si>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</si>
  <si>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</si>
  <si>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</si>
  <si>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</si>
  <si>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</si>
  <si>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</si>
  <si>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</si>
  <si>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</si>
  <si>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</si>
  <si>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</si>
  <si>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</si>
  <si>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</si>
  <si>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</si>
  <si>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</si>
  <si>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</si>
  <si>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</si>
  <si>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</si>
  <si>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</si>
  <si>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</si>
  <si>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</si>
  <si>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</si>
  <si>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</si>
  <si>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</si>
  <si>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</si>
  <si>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</si>
  <si>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</si>
  <si>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</si>
  <si>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</si>
  <si>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</si>
  <si>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</si>
  <si>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</si>
  <si>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</si>
  <si>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</si>
  <si>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</si>
  <si>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</si>
  <si>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</si>
  <si>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</si>
  <si>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</si>
  <si>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</si>
  <si>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</si>
  <si>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</si>
  <si>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</si>
  <si>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</si>
  <si>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</si>
  <si>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</si>
  <si>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</si>
  <si>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</si>
  <si>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</si>
  <si>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</si>
  <si>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</si>
  <si>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</si>
  <si>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</si>
  <si>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</si>
  <si>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</si>
  <si>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</si>
  <si>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</si>
  <si>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</si>
  <si>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</si>
  <si>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</si>
  <si>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</si>
  <si>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</si>
  <si>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</si>
  <si>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</si>
  <si>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</si>
  <si>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</si>
  <si>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</si>
  <si>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</si>
  <si>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</si>
  <si>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</si>
  <si>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</si>
  <si>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</si>
  <si>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</si>
  <si>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</si>
  <si>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</si>
  <si>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</si>
  <si>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</si>
  <si>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</si>
  <si>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</si>
  <si>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</si>
  <si>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</si>
  <si>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</si>
  <si>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</si>
  <si>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</si>
  <si>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</si>
  <si>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</si>
  <si>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</si>
  <si>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</si>
  <si>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</si>
  <si>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</si>
  <si>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</si>
  <si>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</si>
  <si>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</si>
  <si>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</si>
  <si>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</si>
  <si>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</si>
  <si>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</si>
  <si>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</si>
  <si>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</si>
  <si>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</si>
  <si>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</si>
  <si>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</si>
  <si>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</si>
  <si>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</si>
  <si>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</si>
  <si>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</si>
  <si>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</si>
  <si>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</si>
  <si>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</si>
  <si>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</si>
  <si>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</si>
  <si>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</si>
  <si>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</si>
  <si>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</si>
  <si>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</si>
  <si>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</si>
  <si>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</si>
  <si>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</si>
  <si>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</si>
  <si>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</si>
  <si>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</si>
  <si>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</si>
  <si>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</si>
  <si>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</si>
  <si>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</si>
  <si>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</si>
  <si>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</si>
  <si>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</si>
  <si>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</si>
  <si>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</si>
  <si>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</si>
  <si>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</si>
  <si>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</si>
  <si>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</si>
  <si>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</si>
  <si>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</si>
  <si>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</si>
  <si>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</si>
  <si>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</si>
  <si>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</si>
  <si>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</si>
  <si>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</si>
  <si>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</si>
  <si>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</si>
  <si>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</si>
  <si>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</si>
  <si>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</si>
  <si>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</si>
  <si>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</si>
  <si>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</si>
  <si>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</si>
  <si>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</si>
  <si>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</si>
  <si>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</si>
  <si>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</si>
  <si>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</si>
  <si>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</si>
  <si>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</si>
  <si>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</si>
  <si>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</si>
  <si>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</si>
  <si>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</si>
  <si>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</si>
  <si>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</si>
  <si>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</si>
  <si>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</si>
  <si>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</si>
  <si>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</si>
  <si>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</si>
  <si>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</si>
  <si>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</si>
  <si>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</si>
  <si>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</si>
  <si>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</si>
  <si>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</si>
  <si>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</si>
  <si>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</si>
  <si>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</si>
  <si>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</si>
  <si>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</si>
  <si>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</si>
  <si>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</si>
  <si>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</si>
  <si>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</si>
  <si>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</si>
  <si>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</si>
  <si>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</si>
  <si>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</si>
  <si>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</si>
  <si>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</si>
  <si>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</si>
  <si>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</si>
  <si>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</si>
  <si>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</si>
  <si>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</si>
  <si>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</si>
  <si>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</si>
  <si>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</si>
  <si>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</si>
  <si>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</si>
  <si>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</si>
  <si>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</si>
  <si>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</si>
  <si>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</si>
  <si>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</si>
  <si>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</si>
  <si>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</si>
  <si>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</si>
  <si>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</si>
  <si>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</si>
  <si>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</si>
  <si>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</si>
  <si>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</si>
  <si>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</si>
  <si>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</si>
  <si>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</si>
  <si>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</si>
  <si>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</si>
  <si>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</si>
  <si>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</si>
  <si>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</si>
  <si>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</si>
  <si>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</si>
  <si>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</si>
  <si>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</si>
  <si>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</si>
  <si>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</si>
  <si>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</si>
  <si>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</si>
  <si>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</si>
  <si>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</si>
  <si>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</si>
  <si>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</si>
  <si>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</si>
  <si>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</si>
  <si>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</si>
  <si>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</si>
  <si>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</si>
  <si>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</si>
  <si>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</si>
  <si>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</si>
  <si>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</si>
  <si>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</si>
  <si>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</si>
  <si>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</si>
  <si>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</si>
  <si>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</si>
  <si>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</si>
  <si>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</si>
  <si>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</si>
  <si>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</si>
  <si>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</si>
  <si>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</si>
  <si>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</si>
  <si>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</si>
  <si>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</si>
  <si>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</si>
  <si>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</si>
  <si>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</si>
  <si>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</si>
  <si>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</si>
  <si>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</si>
  <si>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</si>
  <si>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</si>
  <si>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</si>
  <si>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</si>
  <si>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</si>
  <si>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</si>
  <si>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</si>
  <si>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</si>
  <si>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</si>
  <si>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</si>
  <si>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</si>
  <si>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</si>
  <si>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</si>
  <si>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</si>
  <si>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</si>
  <si>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</si>
  <si>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</si>
  <si>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</si>
  <si>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</si>
  <si>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</si>
  <si>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</si>
  <si>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</si>
  <si>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</si>
  <si>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</si>
  <si>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</si>
  <si>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</si>
  <si>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</si>
  <si>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</si>
  <si>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</si>
  <si>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</si>
  <si>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</si>
  <si>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</si>
  <si>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</si>
  <si>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</si>
  <si>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</si>
  <si>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</si>
  <si>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</si>
  <si>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</si>
  <si>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</si>
  <si>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</si>
  <si>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</si>
  <si>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</si>
  <si>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</si>
  <si>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</si>
  <si>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</si>
  <si>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</si>
  <si>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</si>
  <si>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</si>
  <si>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</si>
  <si>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</si>
  <si>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</si>
  <si>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</si>
  <si>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</si>
  <si>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</si>
  <si>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</si>
  <si>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</si>
  <si>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</si>
  <si>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</si>
  <si>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</si>
  <si>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</si>
  <si>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</si>
  <si>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</si>
  <si>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</si>
  <si>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</si>
  <si>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</si>
  <si>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</si>
  <si>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</si>
  <si>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</si>
  <si>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</si>
  <si>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</si>
  <si>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</si>
  <si>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</si>
  <si>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</si>
  <si>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</si>
  <si>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</si>
  <si>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</si>
  <si>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</si>
  <si>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</si>
  <si>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</si>
  <si>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</si>
  <si>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</si>
  <si>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</si>
  <si>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</si>
  <si>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</si>
  <si>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</si>
  <si>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</si>
  <si>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</si>
  <si>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</si>
  <si>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</si>
  <si>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</si>
  <si>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</si>
  <si>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</si>
  <si>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</si>
  <si>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</si>
  <si>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</si>
  <si>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</si>
  <si>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</si>
  <si>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</si>
  <si>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</si>
  <si>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</si>
  <si>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</si>
  <si>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</si>
  <si>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</si>
  <si>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</si>
  <si>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</si>
  <si>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</si>
  <si>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</si>
  <si>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</si>
  <si>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</si>
  <si>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</si>
  <si>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</si>
  <si>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</si>
  <si>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</si>
  <si>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</si>
  <si>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</si>
  <si>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</si>
  <si>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</si>
  <si>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</si>
  <si>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</si>
  <si>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</si>
  <si>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</si>
  <si>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</si>
  <si>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</si>
  <si>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</si>
  <si>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</si>
  <si>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</si>
  <si>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</si>
  <si>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</si>
  <si>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</si>
  <si>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</si>
  <si>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</si>
  <si>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</si>
  <si>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</si>
  <si>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</si>
  <si>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</si>
  <si>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</si>
  <si>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</si>
  <si>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</si>
  <si>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</si>
  <si>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</si>
  <si>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</si>
  <si>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</si>
  <si>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</si>
  <si>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</si>
  <si>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</si>
  <si>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</si>
  <si>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</si>
  <si>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</si>
  <si>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</si>
  <si>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</si>
  <si>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</si>
  <si>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</si>
  <si>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</si>
  <si>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</si>
  <si>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</si>
  <si>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</si>
  <si>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</si>
  <si>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</si>
  <si>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</si>
  <si>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</si>
  <si>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</si>
  <si>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</si>
  <si>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</si>
  <si>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</si>
  <si>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</si>
  <si>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</si>
  <si>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</si>
  <si>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</si>
  <si>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</si>
  <si>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</si>
  <si>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</si>
  <si>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</si>
  <si>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</si>
  <si>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</si>
  <si>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</si>
  <si>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</si>
  <si>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</si>
  <si>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</si>
  <si>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</si>
  <si>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</si>
  <si>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</si>
  <si>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</si>
  <si>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</si>
  <si>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</si>
  <si>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</si>
  <si>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</si>
  <si>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</si>
  <si>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</si>
  <si>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</si>
  <si>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</si>
  <si>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</si>
  <si>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</si>
  <si>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</si>
  <si>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</si>
  <si>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</si>
  <si>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</si>
  <si>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</si>
  <si>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</si>
  <si>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</si>
  <si>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</si>
  <si>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</si>
  <si>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</si>
  <si>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</si>
  <si>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</si>
  <si>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</si>
  <si>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</si>
  <si>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</si>
  <si>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</si>
  <si>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</si>
  <si>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</si>
  <si>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</si>
  <si>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</si>
  <si>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</si>
  <si>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</si>
  <si>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</si>
  <si>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</si>
  <si>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</si>
  <si>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</si>
  <si>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</si>
  <si>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</si>
  <si>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</si>
  <si>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</si>
  <si>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</si>
  <si>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</si>
  <si>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</si>
  <si>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</si>
  <si>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</si>
  <si>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</si>
  <si>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</si>
  <si>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</si>
  <si>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</si>
  <si>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</si>
  <si>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</si>
  <si>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</si>
  <si>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</si>
  <si>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</si>
  <si>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</si>
  <si>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</si>
  <si>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</si>
  <si>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</si>
  <si>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</si>
  <si>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</si>
  <si>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</si>
  <si>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</si>
  <si>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</si>
  <si>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</si>
  <si>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</si>
  <si>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</si>
  <si>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</si>
  <si>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</si>
  <si>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</si>
  <si>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</si>
  <si>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</si>
  <si>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</si>
  <si>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</si>
  <si>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</si>
  <si>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</si>
  <si>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</si>
  <si>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</si>
  <si>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</si>
  <si>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</si>
  <si>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</si>
  <si>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</si>
  <si>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</si>
  <si>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</si>
  <si>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</si>
  <si>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</si>
  <si>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</si>
  <si>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</si>
  <si>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</si>
  <si>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</si>
  <si>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</si>
  <si>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</si>
  <si>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</si>
  <si>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</si>
  <si>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</si>
  <si>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</si>
  <si>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</si>
  <si>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</si>
  <si>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</si>
  <si>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</si>
  <si>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</si>
  <si>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</si>
  <si>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</si>
  <si>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</si>
  <si>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</si>
  <si>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</si>
  <si>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</si>
  <si>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</si>
  <si>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</si>
  <si>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</si>
  <si>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</si>
  <si>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</si>
  <si>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</si>
  <si>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</si>
  <si>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</si>
  <si>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</si>
  <si>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</si>
  <si>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</si>
  <si>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</si>
  <si>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</si>
  <si>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</si>
  <si>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</si>
  <si>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</si>
  <si>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</si>
  <si>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</si>
  <si>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</si>
  <si>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</si>
  <si>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</si>
  <si>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</si>
  <si>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</si>
  <si>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</si>
  <si>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</si>
  <si>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</si>
  <si>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</si>
  <si>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</si>
  <si>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</si>
  <si>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</si>
  <si>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</si>
  <si>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</si>
  <si>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</si>
  <si>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</si>
  <si>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</si>
  <si>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</si>
  <si>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</si>
  <si>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</si>
  <si>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</si>
  <si>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</si>
  <si>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</si>
  <si>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</si>
  <si>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</si>
  <si>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</si>
  <si>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</si>
  <si>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</si>
  <si>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</si>
  <si>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</si>
  <si>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</si>
  <si>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</si>
  <si>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</si>
  <si>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</si>
  <si>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</si>
  <si>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</si>
  <si>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</si>
  <si>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</si>
  <si>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</si>
  <si>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</si>
  <si>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</si>
  <si>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</si>
  <si>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</si>
  <si>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</si>
  <si>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</si>
  <si>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</si>
  <si>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</si>
  <si>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</si>
  <si>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</si>
  <si>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</si>
  <si>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</si>
  <si>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</si>
  <si>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</si>
  <si>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</si>
  <si>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</si>
  <si>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</si>
  <si>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</si>
  <si>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</si>
  <si>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</si>
  <si>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</si>
  <si>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</si>
  <si>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</si>
  <si>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</si>
  <si>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</si>
  <si>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</si>
  <si>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</si>
  <si>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</si>
  <si>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</si>
  <si>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</si>
  <si>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</si>
  <si>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</si>
  <si>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</si>
  <si>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</si>
  <si>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</si>
  <si>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</si>
  <si>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</si>
  <si>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</si>
  <si>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</si>
  <si>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</si>
  <si>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</si>
  <si>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</si>
  <si>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</si>
  <si>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</si>
  <si>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</si>
  <si>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</si>
  <si>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</si>
  <si>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</si>
  <si>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</si>
  <si>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</si>
  <si>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</si>
  <si>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</si>
  <si>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</si>
  <si>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</si>
  <si>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</si>
  <si>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</si>
  <si>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</si>
  <si>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</si>
  <si>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</si>
  <si>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</si>
  <si>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</si>
  <si>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</si>
  <si>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</si>
  <si>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</si>
  <si>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</si>
  <si>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</si>
  <si>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</si>
  <si>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</si>
  <si>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</si>
  <si>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</si>
  <si>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</si>
  <si>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</si>
  <si>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</si>
  <si>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</si>
  <si>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</si>
  <si>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</si>
  <si>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</si>
  <si>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</si>
  <si>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</si>
  <si>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</si>
  <si>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</si>
  <si>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</si>
  <si>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</si>
  <si>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</si>
  <si>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</si>
  <si>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</si>
  <si>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</si>
  <si>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</si>
  <si>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</si>
  <si>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</si>
  <si>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</si>
  <si>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</si>
  <si>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</si>
  <si>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</si>
  <si>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</si>
  <si>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</si>
  <si>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</si>
  <si>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</si>
  <si>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</si>
  <si>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</si>
  <si>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</si>
  <si>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</si>
  <si>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</si>
  <si>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</si>
  <si>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</si>
  <si>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</si>
  <si>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</si>
  <si>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</si>
  <si>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</si>
  <si>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</si>
  <si>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</si>
  <si>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</si>
  <si>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</si>
  <si>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</si>
  <si>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</si>
  <si>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</si>
  <si>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</si>
  <si>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</si>
  <si>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</si>
  <si>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</si>
  <si>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</si>
  <si>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</si>
  <si>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</si>
  <si>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</si>
  <si>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</si>
  <si>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</si>
  <si>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</si>
  <si>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</si>
  <si>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</si>
  <si>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</si>
  <si>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</si>
  <si>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</si>
  <si>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</si>
  <si>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</si>
  <si>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</si>
  <si>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</si>
  <si>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</si>
  <si>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</si>
  <si>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</si>
  <si>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</si>
  <si>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</si>
  <si>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</si>
  <si>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</si>
  <si>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</si>
  <si>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</si>
  <si>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</si>
  <si>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</si>
  <si>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</si>
  <si>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</si>
  <si>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</si>
  <si>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</si>
  <si>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</si>
  <si>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</si>
  <si>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</si>
  <si>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</si>
  <si>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</si>
  <si>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</si>
  <si>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</si>
  <si>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</si>
  <si>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</si>
  <si>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</si>
  <si>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</si>
  <si>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</si>
  <si>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</si>
  <si>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</si>
  <si>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</si>
  <si>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</si>
  <si>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</si>
  <si>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</si>
  <si>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</si>
  <si>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</si>
  <si>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</si>
  <si>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</si>
  <si>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</si>
  <si>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</si>
  <si>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</si>
  <si>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</si>
  <si>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</si>
  <si>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</si>
  <si>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</si>
  <si>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</si>
  <si>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</si>
  <si>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</si>
  <si>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</si>
  <si>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</si>
  <si>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</si>
  <si>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</si>
  <si>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</si>
  <si>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</si>
  <si>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</si>
  <si>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</si>
  <si>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</si>
  <si>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</si>
  <si>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</si>
  <si>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</si>
  <si>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</si>
  <si>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</si>
  <si>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</si>
  <si>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</si>
  <si>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</si>
  <si>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</si>
  <si>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</si>
  <si>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</si>
  <si>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</si>
  <si>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</si>
  <si>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</si>
  <si>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</si>
  <si>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</si>
  <si>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</si>
  <si>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</si>
  <si>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</si>
  <si>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</si>
  <si>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</si>
  <si>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</si>
  <si>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</si>
  <si>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</si>
  <si>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</si>
  <si>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</si>
  <si>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</si>
  <si>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</si>
  <si>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</si>
  <si>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</si>
  <si>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</si>
  <si>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</si>
  <si>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</si>
  <si>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</si>
  <si>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</si>
  <si>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</si>
  <si>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</si>
  <si>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</si>
  <si>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</si>
  <si>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</si>
  <si>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</si>
  <si>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</si>
  <si>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</si>
  <si>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</si>
  <si>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</si>
  <si>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</si>
  <si>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</si>
  <si>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</si>
  <si>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</si>
  <si>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</si>
  <si>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</si>
  <si>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</si>
  <si>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</si>
  <si>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</si>
  <si>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</si>
  <si>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</si>
  <si>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</si>
  <si>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</si>
  <si>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</si>
  <si>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</si>
  <si>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</si>
  <si>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</si>
  <si>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</si>
  <si>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</si>
  <si>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</si>
  <si>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</si>
  <si>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</si>
  <si>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</si>
  <si>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</si>
  <si>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</si>
  <si>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</si>
  <si>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</si>
  <si>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</si>
  <si>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</si>
  <si>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</si>
  <si>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</si>
  <si>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</si>
  <si>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</si>
  <si>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</si>
  <si>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</si>
  <si>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</si>
  <si>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</si>
  <si>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</si>
  <si>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</si>
  <si>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</si>
  <si>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</si>
  <si>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</si>
  <si>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</si>
  <si>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</si>
  <si>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</si>
  <si>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</si>
  <si>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</si>
  <si>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</si>
  <si>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</si>
  <si>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</si>
  <si>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</si>
  <si>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</si>
  <si>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</si>
  <si>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</si>
  <si>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</si>
  <si>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</si>
  <si>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</si>
  <si>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</si>
  <si>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</si>
  <si>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</si>
  <si>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</si>
  <si>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</si>
  <si>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</si>
  <si>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</si>
  <si>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</si>
  <si>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</si>
  <si>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</si>
  <si>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</si>
  <si>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</si>
  <si>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</si>
  <si>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</si>
  <si>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</si>
  <si>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</si>
  <si>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</si>
  <si>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</si>
  <si>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</si>
  <si>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</si>
  <si>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</si>
  <si>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</si>
  <si>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</si>
  <si>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</si>
  <si>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</si>
  <si>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</si>
  <si>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</si>
  <si>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</si>
  <si>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</si>
  <si>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</si>
  <si>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</si>
  <si>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</si>
  <si>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</si>
  <si>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</si>
  <si>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</si>
  <si>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</si>
  <si>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</si>
  <si>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</si>
  <si>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</si>
  <si>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</si>
  <si>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</si>
  <si>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</si>
  <si>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</si>
  <si>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</si>
  <si>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</si>
  <si>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</si>
  <si>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</si>
  <si>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</si>
  <si>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</si>
  <si>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</si>
  <si>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</si>
  <si>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</si>
  <si>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</si>
  <si>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</si>
  <si>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</si>
  <si>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</si>
  <si>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</si>
  <si>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</si>
  <si>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</si>
  <si>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</si>
  <si>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</si>
  <si>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</si>
  <si>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</si>
  <si>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</si>
  <si>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</si>
  <si>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</si>
  <si>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</si>
  <si>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</si>
  <si>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</si>
  <si>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</si>
  <si>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</si>
  <si>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</si>
  <si>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</si>
  <si>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</si>
  <si>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</si>
  <si>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</si>
  <si>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</si>
  <si>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</si>
  <si>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</si>
  <si>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</si>
  <si>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</si>
  <si>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</si>
  <si>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</si>
  <si>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</si>
  <si>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</si>
  <si>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</si>
  <si>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</si>
  <si>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</si>
  <si>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</si>
  <si>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</si>
  <si>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</si>
  <si>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</si>
  <si>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</si>
  <si>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</si>
  <si>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</si>
  <si>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</si>
  <si>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</si>
  <si>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</si>
  <si>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</si>
  <si>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</si>
  <si>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</si>
  <si>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</si>
  <si>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</si>
  <si>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</si>
  <si>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</si>
  <si>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</si>
  <si>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</si>
  <si>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</si>
  <si>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</si>
  <si>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</si>
  <si>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</si>
  <si>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</si>
  <si>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</si>
  <si>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</si>
  <si>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</si>
  <si>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</si>
  <si>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</si>
  <si>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</si>
  <si>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</si>
  <si>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</si>
  <si>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</si>
  <si>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</si>
  <si>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</si>
  <si>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</si>
  <si>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</si>
  <si>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</si>
  <si>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</si>
  <si>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</si>
  <si>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</si>
  <si>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</si>
  <si>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</si>
  <si>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</si>
  <si>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</si>
  <si>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</si>
  <si>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</si>
  <si>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</si>
  <si>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</si>
  <si>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</si>
  <si>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</si>
  <si>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</si>
  <si>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</si>
  <si>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</si>
  <si>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</si>
  <si>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</si>
  <si>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</si>
  <si>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</si>
  <si>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</si>
  <si>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</si>
  <si>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</si>
  <si>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</si>
  <si>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</si>
  <si>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</si>
  <si>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</si>
  <si>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</si>
  <si>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</si>
  <si>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</si>
  <si>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</si>
  <si>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</si>
  <si>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</si>
  <si>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</si>
  <si>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</si>
  <si>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</si>
  <si>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</si>
  <si>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</si>
  <si>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</si>
  <si>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</si>
  <si>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</si>
  <si>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</si>
  <si>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</si>
  <si>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</si>
  <si>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</si>
  <si>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</si>
  <si>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</si>
  <si>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</si>
  <si>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</si>
  <si>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</si>
  <si>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</si>
  <si>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</si>
  <si>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</si>
  <si>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</si>
  <si>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</si>
  <si>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</si>
  <si>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</si>
  <si>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</si>
  <si>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</si>
  <si>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</si>
  <si>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</si>
  <si>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</si>
  <si>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</si>
  <si>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</si>
  <si>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</si>
  <si>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</si>
  <si>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</si>
  <si>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</si>
  <si>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</si>
  <si>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</si>
  <si>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</si>
  <si>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</si>
  <si>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</si>
  <si>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</si>
  <si>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</si>
  <si>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</si>
  <si>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</si>
  <si>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</si>
  <si>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</si>
  <si>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</si>
  <si>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</si>
  <si>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</si>
  <si>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</si>
  <si>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</si>
  <si>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</si>
  <si>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</si>
  <si>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</si>
  <si>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</si>
  <si>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</si>
  <si>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</si>
  <si>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</si>
  <si>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</si>
  <si>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</si>
  <si>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</si>
  <si>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</si>
  <si>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</si>
  <si>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</si>
  <si>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</si>
  <si>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</si>
  <si>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</si>
  <si>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</si>
  <si>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</si>
  <si>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</si>
  <si>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</si>
  <si>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</si>
  <si>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</si>
  <si>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</si>
  <si>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</si>
  <si>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</si>
  <si>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</si>
  <si>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</si>
  <si>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</si>
  <si>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</si>
  <si>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</si>
  <si>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</si>
  <si>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</si>
  <si>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</si>
  <si>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</si>
  <si>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</si>
  <si>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</si>
  <si>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</si>
  <si>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</si>
  <si>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</si>
  <si>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</si>
  <si>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</si>
  <si>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</si>
  <si>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</si>
  <si>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</si>
  <si>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</si>
  <si>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</si>
  <si>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</si>
  <si>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</si>
  <si>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</si>
  <si>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</si>
  <si>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</si>
  <si>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</si>
  <si>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</si>
  <si>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</si>
  <si>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</si>
  <si>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</si>
  <si>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</si>
  <si>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</si>
  <si>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</si>
  <si>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</si>
  <si>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</si>
  <si>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</si>
  <si>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</si>
  <si>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</si>
  <si>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</si>
  <si>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</si>
  <si>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</si>
  <si>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</si>
  <si>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</si>
  <si>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</si>
  <si>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</si>
  <si>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</si>
  <si>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</si>
  <si>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</si>
  <si>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</si>
  <si>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</si>
  <si>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</si>
  <si>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</si>
  <si>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</si>
  <si>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</si>
  <si>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</si>
  <si>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</si>
  <si>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</si>
  <si>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</si>
  <si>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</si>
  <si>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</si>
  <si>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</si>
  <si>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</si>
  <si>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</si>
  <si>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</si>
  <si>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</si>
  <si>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</si>
  <si>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</si>
  <si>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</si>
  <si>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</si>
  <si>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</si>
  <si>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</si>
  <si>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</si>
  <si>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</si>
  <si>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</si>
  <si>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</si>
  <si>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</si>
  <si>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</si>
  <si>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</si>
  <si>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</si>
  <si>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</si>
  <si>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</si>
  <si>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</si>
  <si>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</si>
  <si>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</si>
  <si>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</si>
  <si>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</si>
  <si>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</si>
  <si>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</si>
  <si>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</si>
  <si>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</si>
  <si>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</si>
  <si>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</si>
  <si>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</si>
  <si>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</si>
  <si>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</si>
  <si>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</si>
  <si>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</si>
  <si>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</si>
  <si>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</si>
  <si>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</si>
  <si>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</si>
  <si>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</si>
  <si>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</si>
  <si>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</si>
  <si>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</si>
  <si>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</si>
  <si>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</si>
  <si>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</si>
  <si>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</si>
  <si>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</si>
  <si>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</si>
  <si>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</si>
  <si>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</si>
  <si>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</si>
  <si>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</si>
  <si>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</si>
  <si>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</si>
  <si>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</si>
  <si>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</si>
  <si>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</si>
  <si>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</si>
  <si>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</si>
  <si>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</si>
  <si>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</si>
  <si>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</si>
  <si>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</si>
  <si>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</si>
  <si>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</si>
  <si>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</si>
  <si>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</si>
  <si>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</si>
  <si>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</si>
  <si>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</si>
  <si>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</si>
  <si>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</si>
  <si>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</si>
  <si>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</si>
  <si>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</si>
  <si>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</si>
  <si>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</si>
  <si>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</si>
  <si>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</si>
  <si>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</si>
  <si>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</si>
  <si>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</si>
  <si>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</si>
  <si>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</si>
  <si>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</si>
  <si>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</si>
  <si>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</si>
  <si>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</si>
  <si>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</si>
  <si>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</si>
  <si>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</si>
  <si>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</si>
  <si>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</si>
  <si>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</si>
  <si>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</si>
  <si>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</si>
  <si>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</si>
  <si>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</si>
  <si>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</si>
  <si>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</si>
  <si>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</si>
  <si>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</si>
  <si>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</si>
  <si>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</si>
  <si>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</si>
  <si>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</si>
  <si>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</si>
  <si>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</si>
  <si>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</si>
  <si>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</si>
  <si>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</si>
  <si>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</si>
  <si>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</si>
  <si>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</si>
  <si>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</si>
  <si>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</si>
  <si>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</si>
  <si>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</si>
  <si>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</si>
  <si>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</si>
  <si>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</si>
  <si>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</si>
  <si>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</si>
  <si>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</si>
  <si>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</si>
  <si>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</si>
  <si>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</si>
  <si>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</si>
  <si>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</si>
  <si>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</si>
  <si>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</si>
  <si>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</si>
  <si>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</si>
  <si>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</si>
  <si>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</si>
  <si>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</si>
  <si>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</si>
  <si>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</si>
  <si>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</si>
  <si>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</si>
  <si>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</si>
  <si>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</si>
  <si>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</si>
  <si>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</si>
  <si>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</si>
  <si>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</si>
  <si>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</si>
  <si>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</si>
  <si>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</si>
  <si>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</si>
  <si>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</si>
  <si>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</si>
  <si>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</si>
  <si>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</si>
  <si>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</si>
  <si>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</si>
  <si>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</si>
  <si>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</si>
  <si>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</si>
  <si>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</si>
  <si>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</si>
  <si>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</si>
  <si>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</si>
  <si>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</si>
  <si>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</si>
  <si>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</si>
  <si>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</si>
  <si>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</si>
  <si>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</si>
  <si>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</si>
  <si>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</si>
  <si>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</si>
  <si>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</si>
  <si>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</si>
  <si>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</si>
  <si>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</si>
  <si>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</si>
  <si>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</si>
  <si>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</si>
  <si>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</si>
  <si>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</si>
  <si>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</si>
  <si>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</si>
  <si>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</si>
  <si>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</si>
  <si>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</si>
  <si>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</si>
  <si>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</si>
  <si>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</si>
  <si>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</si>
  <si>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</si>
  <si>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</si>
  <si>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</si>
  <si>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</si>
  <si>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</si>
  <si>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</si>
  <si>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</si>
  <si>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</si>
  <si>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</si>
  <si>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</si>
  <si>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</si>
  <si>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</si>
  <si>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</si>
  <si>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</si>
  <si>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</si>
  <si>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</si>
  <si>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</si>
  <si>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</si>
  <si>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</si>
  <si>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</si>
  <si>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</si>
  <si>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</si>
  <si>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</si>
  <si>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</si>
  <si>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</si>
  <si>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</si>
  <si>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</si>
  <si>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</si>
  <si>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</si>
  <si>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</si>
  <si>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</si>
  <si>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</si>
  <si>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</si>
  <si>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</si>
  <si>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</si>
  <si>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</si>
  <si>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</si>
  <si>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</si>
  <si>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</si>
  <si>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</si>
  <si>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</si>
  <si>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</si>
  <si>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</si>
  <si>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</si>
  <si>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</si>
  <si>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</si>
  <si>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</si>
  <si>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</si>
  <si>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</si>
  <si>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</si>
  <si>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</si>
  <si>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</si>
  <si>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</si>
  <si>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</si>
  <si>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</si>
  <si>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</si>
  <si>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</si>
  <si>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</si>
  <si>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</si>
  <si>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</si>
  <si>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</si>
  <si>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</si>
  <si>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</si>
  <si>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</si>
  <si>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</si>
  <si>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</si>
  <si>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</si>
  <si>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</si>
  <si>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</si>
  <si>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</si>
  <si>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</si>
  <si>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</si>
  <si>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</si>
  <si>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</si>
  <si>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</si>
  <si>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</si>
  <si>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</si>
  <si>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</si>
  <si>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</si>
  <si>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</si>
  <si>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</si>
  <si>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</si>
  <si>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</si>
  <si>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</si>
  <si>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</si>
  <si>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</si>
  <si>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</si>
  <si>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</si>
  <si>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</si>
  <si>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</si>
  <si>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</si>
  <si>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</si>
  <si>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</si>
  <si>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</si>
  <si>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</si>
  <si>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</si>
  <si>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</si>
  <si>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</si>
  <si>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</si>
  <si>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</si>
  <si>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</si>
  <si>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</si>
  <si>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</si>
  <si>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</si>
  <si>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</si>
  <si>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</si>
  <si>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</si>
  <si>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</si>
  <si>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</si>
  <si>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</si>
  <si>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</si>
  <si>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</si>
  <si>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</si>
  <si>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</si>
  <si>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</si>
  <si>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</si>
  <si>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</si>
  <si>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</si>
  <si>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</si>
  <si>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</si>
  <si>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</si>
  <si>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</si>
  <si>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</si>
  <si>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</si>
  <si>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</si>
  <si>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</si>
  <si>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</si>
  <si>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</si>
  <si>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</si>
  <si>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</si>
  <si>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</si>
  <si>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</si>
  <si>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</si>
  <si>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</si>
  <si>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</si>
  <si>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</si>
  <si>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</si>
  <si>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</si>
  <si>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</si>
  <si>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</si>
  <si>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</si>
  <si>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</si>
  <si>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</si>
  <si>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</si>
  <si>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</si>
  <si>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</si>
  <si>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</si>
  <si>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</si>
  <si>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</si>
  <si>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</si>
  <si>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</si>
  <si>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</si>
  <si>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</si>
  <si>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</si>
  <si>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</si>
  <si>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</si>
  <si>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</si>
  <si>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</si>
  <si>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</si>
  <si>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</si>
  <si>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</si>
  <si>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</si>
  <si>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</si>
  <si>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</si>
  <si>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</si>
  <si>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</si>
  <si>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</si>
  <si>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</si>
  <si>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</si>
  <si>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</si>
  <si>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</si>
  <si>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</si>
  <si>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</si>
  <si>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</si>
  <si>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</si>
  <si>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</si>
  <si>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</si>
  <si>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</si>
  <si>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</si>
  <si>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</si>
  <si>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</si>
  <si>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</si>
  <si>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</si>
  <si>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</si>
  <si>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</si>
  <si>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</si>
  <si>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</si>
  <si>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</si>
  <si>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</si>
  <si>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</si>
  <si>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</si>
  <si>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</si>
  <si>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</si>
  <si>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</si>
  <si>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</si>
  <si>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</si>
  <si>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</si>
  <si>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</si>
  <si>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</si>
  <si>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</si>
  <si>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</si>
  <si>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</si>
  <si>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</si>
  <si>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</si>
  <si>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</si>
  <si>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</si>
  <si>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</si>
  <si>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</si>
  <si>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</si>
  <si>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</si>
  <si>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</si>
  <si>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</si>
  <si>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</si>
  <si>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</si>
  <si>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</si>
  <si>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</si>
  <si>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</si>
  <si>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</si>
  <si>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</si>
  <si>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</si>
  <si>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</si>
  <si>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</si>
  <si>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</si>
  <si>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</si>
  <si>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</si>
  <si>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</si>
  <si>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</si>
  <si>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</si>
  <si>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</si>
  <si>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</si>
  <si>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</si>
  <si>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</si>
  <si>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</si>
  <si>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</si>
  <si>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</si>
  <si>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</si>
  <si>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</si>
  <si>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</si>
  <si>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</si>
  <si>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</si>
  <si>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</si>
  <si>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</si>
  <si>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</si>
  <si>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</si>
  <si>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</si>
  <si>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</si>
  <si>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</si>
  <si>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</si>
  <si>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</si>
  <si>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</si>
  <si>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</si>
  <si>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</si>
  <si>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</si>
  <si>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</si>
  <si>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</si>
  <si>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</si>
  <si>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</si>
  <si>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</si>
  <si>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</si>
  <si>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</si>
  <si>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</si>
  <si>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</si>
  <si>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</si>
  <si>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</si>
  <si>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</si>
  <si>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</si>
  <si>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</si>
  <si>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</si>
  <si>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</si>
  <si>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</si>
  <si>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</si>
  <si>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</si>
  <si>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</si>
  <si>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</si>
  <si>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</si>
  <si>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</si>
  <si>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</si>
  <si>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</si>
  <si>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</si>
  <si>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</si>
  <si>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</si>
  <si>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</si>
  <si>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</si>
  <si>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</si>
  <si>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</si>
  <si>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</si>
  <si>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</si>
  <si>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</si>
  <si>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</si>
  <si>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</si>
  <si>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</si>
  <si>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</si>
  <si>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</si>
  <si>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</si>
  <si>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</si>
  <si>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</si>
  <si>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</si>
  <si>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</si>
  <si>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</si>
  <si>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</si>
  <si>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</si>
  <si>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</si>
  <si>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</si>
  <si>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</si>
  <si>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</si>
  <si>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</si>
  <si>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</si>
  <si>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</si>
  <si>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</si>
  <si>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</si>
  <si>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</si>
  <si>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</si>
  <si>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</si>
  <si>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</si>
  <si>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</si>
  <si>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</si>
  <si>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</si>
  <si>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</si>
  <si>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</si>
  <si>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</si>
  <si>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</si>
  <si>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</si>
  <si>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</si>
  <si>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</si>
  <si>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</si>
  <si>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</si>
  <si>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</si>
  <si>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</si>
  <si>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</si>
  <si>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</si>
  <si>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</si>
  <si>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</si>
  <si>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</si>
  <si>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</si>
  <si>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</si>
  <si>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</si>
  <si>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</si>
  <si>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</si>
  <si>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</si>
  <si>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</si>
  <si>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</si>
  <si>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</si>
  <si>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</si>
  <si>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</si>
  <si>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</si>
  <si>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</si>
  <si>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</si>
  <si>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</si>
  <si>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</si>
  <si>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</si>
  <si>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</si>
  <si>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</si>
  <si>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</si>
  <si>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</si>
  <si>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</si>
  <si>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</si>
  <si>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</si>
  <si>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</si>
  <si>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</si>
  <si>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</si>
  <si>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</si>
  <si>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</si>
  <si>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</si>
  <si>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</si>
  <si>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</si>
  <si>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</si>
  <si>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</si>
  <si>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</si>
  <si>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</si>
  <si>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</si>
  <si>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</si>
  <si>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</si>
  <si>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</si>
  <si>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</si>
  <si>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</si>
  <si>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</si>
  <si>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</si>
  <si>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</si>
  <si>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</si>
  <si>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</si>
  <si>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</si>
  <si>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</si>
  <si>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</si>
  <si>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</si>
  <si>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</si>
  <si>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</si>
  <si>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</si>
  <si>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</si>
  <si>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</si>
  <si>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</si>
  <si>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</si>
  <si>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</si>
  <si>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</si>
  <si>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</si>
  <si>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</si>
  <si>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</si>
  <si>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</si>
  <si>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</si>
  <si>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</si>
  <si>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</si>
  <si>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</si>
  <si>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</si>
  <si>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</si>
  <si>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</si>
  <si>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</si>
  <si>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</si>
  <si>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</si>
  <si>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</si>
  <si>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</si>
  <si>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</si>
  <si>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</si>
  <si>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</si>
  <si>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</si>
  <si>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</si>
  <si>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</si>
  <si>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</si>
  <si>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</si>
  <si>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</si>
  <si>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</si>
  <si>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</si>
  <si>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</si>
  <si>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</si>
  <si>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</si>
  <si>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</si>
  <si>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</si>
  <si>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</si>
  <si>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</si>
  <si>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</si>
  <si>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</si>
  <si>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</si>
  <si>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</si>
  <si>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</si>
  <si>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</si>
  <si>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</si>
  <si>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</si>
  <si>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</si>
  <si>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</si>
  <si>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</si>
  <si>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</si>
  <si>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</si>
  <si>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</si>
  <si>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</si>
  <si>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</si>
  <si>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</si>
  <si>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</si>
  <si>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</si>
  <si>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</si>
  <si>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</si>
  <si>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</si>
  <si>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</si>
  <si>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</si>
  <si>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</si>
  <si>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</si>
  <si>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</si>
  <si>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</si>
  <si>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</si>
  <si>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</si>
  <si>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</si>
  <si>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</si>
  <si>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</si>
  <si>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</si>
  <si>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</si>
  <si>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</si>
  <si>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</si>
  <si>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</si>
  <si>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</si>
  <si>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</si>
  <si>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</si>
  <si>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</si>
  <si>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</si>
  <si>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</si>
  <si>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</si>
  <si>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</si>
  <si>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</si>
  <si>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</si>
  <si>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</si>
  <si>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</si>
  <si>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</si>
  <si>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</si>
  <si>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</si>
  <si>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</si>
  <si>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</si>
  <si>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</si>
  <si>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</si>
  <si>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</si>
  <si>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</si>
  <si>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</si>
  <si>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</si>
  <si>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</si>
  <si>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</si>
  <si>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</si>
  <si>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</si>
  <si>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</si>
  <si>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</si>
  <si>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</si>
  <si>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</si>
  <si>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</si>
  <si>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</si>
  <si>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</si>
  <si>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</si>
  <si>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</si>
  <si>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</si>
  <si>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</si>
  <si>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</si>
  <si>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</si>
  <si>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</si>
  <si>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</si>
  <si>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</si>
  <si>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</si>
  <si>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</si>
  <si>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</si>
  <si>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</si>
  <si>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</si>
  <si>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</si>
  <si>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</si>
  <si>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</si>
  <si>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</si>
  <si>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</si>
  <si>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</si>
  <si>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</si>
  <si>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</si>
  <si>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</si>
  <si>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</si>
  <si>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</si>
  <si>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</si>
  <si>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</si>
  <si>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</si>
  <si>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</si>
  <si>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</si>
  <si>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</si>
  <si>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</si>
  <si>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</si>
  <si>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</si>
  <si>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</si>
  <si>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</si>
  <si>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</si>
  <si>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</si>
  <si>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</si>
  <si>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</si>
  <si>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</si>
  <si>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</si>
  <si>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</si>
  <si>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</si>
  <si>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</si>
  <si>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</si>
  <si>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</si>
  <si>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</si>
  <si>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</si>
  <si>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</si>
  <si>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</si>
  <si>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</si>
  <si>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</si>
  <si>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</si>
  <si>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</si>
  <si>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</si>
  <si>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</si>
  <si>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</si>
  <si>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</si>
  <si>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</si>
  <si>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</si>
  <si>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</si>
  <si>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</si>
  <si>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</si>
  <si>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</si>
  <si>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</si>
  <si>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</si>
  <si>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</si>
  <si>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</si>
  <si>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</si>
  <si>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</si>
  <si>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</si>
  <si>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</si>
  <si>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</si>
  <si>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</si>
  <si>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</si>
  <si>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</si>
  <si>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</si>
  <si>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</si>
  <si>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</si>
  <si>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</si>
  <si>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</si>
  <si>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</si>
  <si>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</si>
  <si>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</si>
  <si>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</si>
  <si>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</si>
  <si>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</si>
  <si>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</si>
  <si>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</si>
  <si>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</si>
  <si>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</si>
  <si>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</si>
  <si>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</si>
  <si>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</si>
  <si>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</si>
  <si>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</si>
  <si>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</si>
  <si>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</si>
  <si>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</si>
  <si>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</si>
  <si>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</si>
  <si>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</si>
  <si>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</si>
  <si>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</si>
  <si>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</si>
  <si>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</si>
  <si>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</si>
  <si>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</si>
  <si>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</si>
  <si>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</si>
  <si>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</si>
  <si>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</si>
  <si>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</si>
  <si>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</si>
  <si>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</si>
  <si>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</si>
  <si>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</si>
  <si>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</si>
  <si>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</si>
  <si>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</si>
  <si>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</si>
  <si>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</si>
  <si>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</si>
  <si>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</si>
  <si>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</si>
  <si>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</si>
  <si>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</si>
  <si>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</si>
  <si>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</si>
  <si>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</si>
  <si>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</si>
  <si>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</si>
  <si>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</si>
  <si>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</si>
  <si>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</si>
  <si>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</si>
  <si>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</si>
  <si>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</si>
  <si>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</si>
  <si>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</si>
  <si>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</si>
  <si>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</si>
  <si>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</si>
  <si>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</si>
  <si>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</si>
  <si>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</si>
  <si>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</si>
  <si>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</si>
  <si>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</si>
  <si>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</si>
  <si>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</si>
  <si>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</si>
  <si>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</si>
  <si>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</si>
  <si>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</si>
  <si>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</si>
  <si>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</si>
  <si>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</si>
  <si>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</si>
  <si>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</si>
  <si>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</si>
  <si>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</si>
  <si>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</si>
  <si>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</si>
  <si>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</si>
  <si>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</si>
  <si>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</si>
  <si>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</si>
  <si>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</si>
  <si>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</si>
  <si>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</si>
  <si>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</si>
  <si>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</si>
  <si>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</si>
  <si>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</si>
  <si>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</si>
  <si>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</si>
  <si>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</si>
  <si>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</si>
  <si>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</si>
  <si>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</si>
  <si>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</si>
  <si>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</si>
  <si>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</si>
  <si>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</si>
  <si>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</si>
  <si>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</si>
  <si>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</si>
  <si>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</si>
  <si>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</si>
  <si>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</si>
  <si>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</si>
  <si>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</si>
  <si>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</si>
  <si>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</si>
  <si>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</si>
  <si>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</si>
  <si>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</si>
  <si>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</si>
  <si>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</si>
  <si>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</si>
  <si>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</si>
  <si>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</si>
  <si>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</si>
  <si>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</si>
  <si>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</si>
  <si>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</si>
  <si>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</si>
  <si>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</si>
  <si>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</si>
  <si>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</si>
  <si>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</si>
  <si>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</si>
  <si>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</si>
  <si>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</si>
  <si>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</si>
  <si>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</si>
  <si>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</si>
  <si>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</si>
  <si>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</si>
  <si>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</si>
  <si>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</si>
  <si>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</si>
  <si>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</si>
  <si>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</si>
  <si>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</si>
  <si>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</si>
  <si>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</si>
  <si>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</si>
  <si>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</si>
  <si>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</si>
  <si>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</si>
  <si>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</si>
  <si>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</si>
  <si>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</si>
  <si>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</si>
  <si>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</si>
  <si>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</si>
  <si>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</si>
  <si>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</si>
  <si>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</si>
  <si>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</si>
  <si>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</si>
  <si>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</si>
  <si>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</si>
  <si>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</si>
  <si>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</si>
  <si>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</si>
  <si>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</si>
  <si>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</si>
  <si>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</si>
  <si>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</si>
  <si>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</si>
  <si>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</si>
  <si>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</si>
  <si>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</si>
  <si>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</si>
  <si>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</si>
  <si>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</si>
  <si>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</si>
  <si>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</si>
  <si>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</si>
  <si>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</si>
  <si>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</si>
  <si>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</si>
  <si>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</si>
  <si>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</si>
  <si>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</si>
  <si>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</si>
  <si>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</si>
  <si>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</si>
  <si>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</si>
  <si>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</si>
  <si>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</si>
  <si>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</si>
  <si>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</si>
  <si>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</si>
  <si>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</si>
  <si>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</si>
  <si>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</si>
  <si>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</si>
  <si>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</si>
  <si>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</si>
  <si>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</si>
  <si>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</si>
  <si>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</si>
  <si>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</si>
  <si>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</si>
  <si>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</si>
  <si>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</si>
  <si>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</si>
  <si>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</si>
  <si>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</si>
  <si>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</si>
  <si>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</si>
  <si>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</si>
  <si>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</si>
  <si>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</si>
  <si>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</si>
  <si>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</si>
  <si>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</si>
  <si>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</si>
  <si>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</si>
  <si>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</si>
  <si>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</si>
  <si>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</si>
  <si>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</si>
  <si>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</si>
  <si>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</si>
  <si>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</si>
  <si>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</si>
  <si>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</si>
  <si>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</si>
  <si>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</si>
  <si>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</si>
  <si>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</si>
  <si>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</si>
  <si>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</si>
  <si>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</si>
  <si>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</si>
  <si>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</si>
  <si>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</si>
  <si>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</si>
  <si>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</si>
  <si>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</si>
  <si>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</si>
  <si>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</si>
  <si>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</si>
  <si>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</si>
  <si>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</si>
  <si>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</si>
  <si>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</si>
  <si>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</si>
  <si>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</si>
  <si>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</si>
  <si>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</si>
  <si>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</si>
  <si>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</si>
  <si>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</si>
  <si>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</si>
  <si>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</si>
  <si>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</si>
  <si>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</si>
  <si>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</si>
  <si>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</si>
  <si>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</si>
  <si>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</si>
  <si>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</si>
  <si>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</si>
  <si>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</si>
  <si>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</si>
  <si>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</si>
  <si>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</si>
  <si>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</si>
  <si>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</si>
  <si>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</si>
  <si>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</si>
  <si>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</si>
  <si>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</si>
  <si>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</si>
  <si>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</si>
  <si>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</si>
  <si>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</si>
  <si>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</si>
  <si>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</si>
  <si>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</si>
  <si>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</si>
  <si>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</si>
  <si>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</si>
  <si>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</si>
  <si>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</si>
  <si>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</si>
  <si>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</si>
  <si>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</si>
  <si>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</si>
  <si>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</si>
  <si>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</si>
  <si>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</si>
  <si>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</si>
  <si>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</si>
  <si>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</si>
  <si>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</si>
  <si>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</si>
  <si>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</si>
  <si>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</si>
  <si>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</si>
  <si>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</si>
  <si>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</si>
  <si>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</si>
  <si>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</si>
  <si>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</si>
  <si>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</si>
  <si>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</si>
  <si>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</si>
  <si>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</si>
  <si>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</si>
  <si>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</si>
  <si>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</si>
  <si>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</si>
  <si>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</si>
  <si>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</si>
  <si>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</si>
  <si>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</si>
  <si>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</si>
  <si>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</si>
  <si>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</si>
  <si>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</si>
  <si>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</si>
  <si>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</si>
  <si>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</si>
  <si>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</si>
  <si>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</si>
  <si>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</si>
  <si>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</si>
  <si>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</si>
  <si>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</si>
  <si>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</si>
  <si>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</si>
  <si>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</si>
  <si>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</si>
  <si>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</si>
  <si>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</si>
  <si>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</si>
  <si>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</si>
  <si>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</si>
  <si>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</si>
  <si>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</si>
  <si>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</si>
  <si>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</si>
  <si>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</si>
  <si>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</si>
  <si>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</si>
  <si>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</si>
  <si>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</si>
  <si>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</si>
  <si>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</si>
  <si>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</si>
  <si>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</si>
  <si>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</si>
  <si>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</si>
  <si>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</si>
  <si>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</si>
  <si>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</si>
  <si>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</si>
  <si>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</si>
  <si>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</si>
  <si>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</si>
  <si>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</si>
  <si>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</si>
  <si>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</si>
  <si>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</si>
  <si>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</si>
  <si>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</si>
  <si>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</si>
  <si>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</si>
  <si>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</si>
  <si>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</si>
  <si>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</si>
  <si>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</si>
  <si>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</si>
  <si>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</si>
  <si>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</si>
  <si>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</si>
  <si>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</si>
  <si>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</si>
  <si>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</si>
  <si>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</si>
  <si>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</si>
  <si>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</si>
  <si>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</si>
  <si>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</si>
  <si>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</si>
  <si>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</si>
  <si>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</si>
  <si>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</si>
  <si>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</si>
  <si>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</si>
  <si>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</si>
  <si>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</si>
  <si>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</si>
  <si>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</si>
  <si>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</si>
  <si>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</si>
  <si>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</si>
  <si>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</si>
  <si>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</si>
  <si>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</si>
  <si>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</si>
  <si>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</si>
  <si>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</si>
  <si>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</si>
  <si>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</si>
  <si>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</si>
  <si>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</si>
  <si>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</si>
  <si>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</si>
  <si>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</si>
  <si>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</si>
  <si>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</si>
  <si>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</si>
  <si>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</si>
  <si>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</si>
  <si>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</si>
  <si>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</si>
  <si>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</si>
  <si>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</si>
  <si>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</si>
  <si>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</si>
  <si>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</si>
  <si>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</si>
  <si>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</si>
  <si>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</si>
  <si>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</si>
  <si>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</si>
  <si>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</si>
  <si>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</si>
  <si>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</si>
  <si>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</si>
  <si>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</si>
  <si>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</si>
  <si>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</si>
  <si>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</si>
  <si>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</si>
  <si>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</si>
  <si>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</si>
  <si>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</si>
  <si>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</si>
  <si>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</si>
  <si>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</si>
  <si>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</si>
  <si>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</si>
  <si>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</si>
  <si>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</si>
  <si>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</si>
  <si>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</si>
  <si>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</si>
  <si>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</si>
  <si>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</si>
  <si>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</si>
  <si>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</si>
  <si>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</si>
  <si>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</si>
  <si>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</si>
  <si>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</si>
  <si>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</si>
  <si>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</si>
  <si>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</si>
  <si>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</si>
  <si>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</si>
  <si>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</si>
  <si>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</si>
  <si>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</si>
  <si>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</si>
  <si>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</si>
  <si>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</si>
  <si>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</si>
  <si>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</si>
  <si>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</si>
  <si>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</si>
  <si>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</si>
  <si>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</si>
  <si>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</si>
  <si>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</si>
  <si>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</si>
  <si>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</si>
  <si>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</si>
  <si>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</si>
  <si>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</si>
  <si>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</si>
  <si>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</si>
  <si>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</si>
  <si>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</si>
  <si>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</si>
  <si>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</si>
  <si>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</si>
  <si>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</si>
  <si>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</si>
  <si>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</si>
  <si>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</si>
  <si>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</si>
  <si>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</si>
  <si>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</si>
  <si>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</si>
  <si>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</si>
  <si>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</si>
  <si>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</si>
  <si>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</si>
  <si>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</si>
  <si>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</si>
  <si>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</si>
  <si>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</si>
  <si>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</si>
  <si>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</si>
  <si>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</si>
  <si>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</si>
  <si>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</si>
  <si>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</si>
  <si>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</si>
  <si>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</si>
  <si>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</si>
  <si>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</si>
  <si>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</si>
  <si>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</si>
  <si>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</si>
  <si>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</si>
  <si>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</si>
  <si>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</si>
  <si>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</si>
  <si>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</si>
  <si>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</si>
  <si>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</si>
  <si>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</si>
  <si>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</si>
  <si>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</si>
  <si>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</si>
  <si>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</si>
  <si>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</si>
  <si>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</si>
  <si>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</si>
  <si>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</si>
  <si>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</si>
  <si>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</si>
  <si>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</si>
  <si>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</si>
  <si>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</si>
  <si>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</si>
  <si>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</si>
  <si>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</si>
  <si>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</si>
  <si>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</si>
  <si>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</si>
  <si>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</si>
  <si>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</si>
  <si>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</si>
  <si>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</si>
  <si>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</si>
  <si>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</si>
  <si>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</si>
  <si>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</si>
  <si>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</si>
  <si>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</si>
  <si>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</si>
  <si>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</si>
  <si>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</si>
  <si>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</si>
  <si>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</si>
  <si>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</si>
  <si>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</si>
  <si>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</si>
  <si>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</si>
  <si>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</si>
  <si>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</si>
  <si>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</si>
  <si>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</si>
  <si>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</si>
  <si>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</si>
  <si>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</si>
  <si>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</si>
  <si>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</si>
  <si>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</si>
  <si>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</si>
  <si>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</si>
  <si>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</si>
  <si>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</si>
  <si>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</si>
  <si>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</si>
  <si>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</si>
  <si>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</si>
  <si>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</si>
  <si>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</si>
  <si>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</si>
  <si>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</si>
  <si>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</si>
  <si>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</si>
  <si>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</si>
  <si>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</si>
  <si>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</si>
  <si>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</si>
  <si>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</si>
  <si>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</si>
  <si>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</si>
  <si>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</si>
  <si>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</si>
  <si>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</si>
  <si>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</si>
  <si>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</si>
  <si>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</si>
  <si>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</si>
  <si>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</si>
  <si>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</si>
  <si>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</si>
  <si>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</si>
  <si>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</si>
  <si>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</si>
  <si>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</si>
  <si>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</si>
  <si>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</si>
  <si>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</si>
  <si>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</si>
  <si>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</si>
  <si>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</si>
  <si>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</si>
  <si>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</si>
  <si>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</si>
  <si>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</si>
  <si>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</si>
  <si>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</si>
  <si>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</si>
  <si>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</si>
  <si>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</si>
  <si>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</si>
  <si>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</si>
  <si>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</si>
  <si>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</si>
  <si>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</si>
  <si>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</si>
  <si>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</si>
  <si>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</si>
  <si>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</si>
  <si>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</si>
  <si>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</si>
  <si>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</si>
  <si>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</si>
  <si>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</si>
  <si>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</si>
  <si>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</si>
  <si>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</si>
  <si>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</si>
  <si>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</si>
  <si>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</si>
  <si>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</si>
  <si>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</si>
  <si>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</si>
  <si>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</si>
  <si>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</si>
  <si>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</si>
  <si>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</si>
  <si>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</si>
  <si>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</si>
  <si>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</si>
  <si>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</si>
  <si>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</si>
  <si>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</si>
  <si>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</si>
  <si>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</si>
  <si>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</si>
  <si>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</si>
  <si>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</si>
  <si>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</si>
  <si>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</si>
  <si>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</si>
  <si>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</si>
  <si>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</si>
  <si>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</si>
  <si>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</si>
  <si>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</si>
  <si>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</si>
  <si>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</si>
  <si>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</si>
  <si>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</si>
  <si>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</si>
  <si>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</si>
  <si>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</si>
  <si>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</si>
  <si>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</si>
  <si>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</si>
  <si>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</si>
  <si>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</si>
  <si>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</si>
  <si>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</si>
  <si>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</si>
  <si>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</si>
  <si>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</si>
  <si>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</si>
  <si>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</si>
  <si>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</si>
  <si>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</si>
  <si>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</si>
  <si>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</si>
  <si>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</si>
  <si>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</si>
  <si>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</si>
  <si>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</si>
  <si>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</si>
  <si>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</si>
  <si>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</si>
  <si>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</si>
  <si>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</si>
  <si>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</si>
  <si>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</si>
  <si>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</si>
  <si>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</si>
  <si>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</si>
  <si>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</si>
  <si>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</si>
  <si>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</si>
  <si>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</si>
  <si>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</si>
  <si>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</si>
  <si>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</si>
  <si>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</si>
  <si>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</si>
  <si>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</si>
  <si>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</si>
  <si>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</si>
  <si>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</si>
  <si>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</si>
  <si>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</si>
  <si>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</si>
  <si>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</si>
  <si>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</si>
  <si>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</si>
  <si>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</si>
  <si>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</si>
  <si>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</si>
  <si>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</si>
  <si>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</si>
  <si>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</si>
  <si>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</si>
  <si>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</si>
  <si>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</si>
  <si>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</si>
  <si>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</si>
  <si>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</si>
  <si>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</si>
  <si>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</si>
  <si>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</si>
  <si>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</si>
  <si>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</si>
  <si>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</si>
  <si>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</si>
  <si>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</si>
  <si>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</si>
  <si>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</si>
  <si>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</si>
  <si>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</si>
  <si>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</si>
  <si>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</si>
  <si>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</si>
  <si>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</si>
  <si>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</si>
  <si>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</si>
  <si>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</si>
  <si>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</si>
  <si>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</si>
  <si>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</si>
  <si>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</si>
  <si>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</si>
  <si>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</si>
  <si>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</si>
  <si>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</si>
  <si>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</si>
  <si>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</si>
  <si>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</si>
  <si>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</si>
  <si>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</si>
  <si>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</si>
  <si>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</si>
  <si>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</si>
  <si>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</si>
  <si>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</si>
  <si>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</si>
  <si>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</si>
  <si>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</si>
  <si>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</si>
  <si>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</si>
  <si>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</si>
  <si>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</si>
  <si>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</si>
  <si>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</si>
  <si>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</si>
  <si>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</si>
  <si>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</si>
  <si>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</si>
  <si>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</si>
  <si>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</si>
  <si>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</si>
  <si>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</si>
  <si>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</si>
  <si>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</si>
  <si>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</si>
  <si>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</si>
  <si>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</si>
  <si>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</si>
  <si>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</si>
  <si>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</si>
  <si>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</si>
  <si>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</si>
  <si>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</si>
  <si>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</si>
  <si>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</si>
  <si>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</si>
  <si>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</si>
  <si>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</si>
  <si>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</si>
  <si>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</si>
  <si>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</si>
  <si>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</si>
  <si>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</si>
  <si>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</si>
  <si>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</si>
  <si>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</si>
  <si>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</si>
  <si>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</si>
  <si>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</si>
  <si>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</si>
  <si>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</si>
  <si>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</si>
  <si>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</si>
  <si>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</si>
  <si>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</si>
  <si>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</si>
  <si>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</si>
  <si>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</si>
  <si>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</si>
  <si>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</si>
  <si>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</si>
  <si>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</si>
  <si>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</si>
  <si>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</si>
  <si>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</si>
  <si>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</si>
  <si>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</si>
  <si>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</si>
  <si>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</si>
  <si>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</si>
  <si>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</si>
  <si>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</si>
  <si>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</si>
  <si>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</si>
  <si>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</si>
  <si>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</si>
  <si>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</si>
  <si>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</si>
  <si>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</si>
  <si>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</si>
  <si>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</si>
  <si>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</si>
  <si>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</si>
  <si>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</si>
  <si>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</si>
  <si>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</si>
  <si>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</si>
  <si>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</si>
  <si>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</si>
  <si>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</si>
  <si>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</si>
  <si>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</si>
  <si>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</si>
  <si>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</si>
  <si>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</si>
  <si>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</si>
  <si>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</si>
  <si>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</si>
  <si>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</si>
  <si>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</si>
  <si>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</si>
  <si>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</si>
  <si>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</si>
  <si>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</si>
  <si>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</si>
  <si>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</si>
  <si>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</si>
  <si>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</si>
  <si>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</si>
  <si>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</si>
  <si>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</si>
  <si>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</si>
  <si>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</si>
  <si>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</si>
  <si>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</si>
  <si>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</si>
  <si>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</si>
  <si>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</si>
  <si>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</si>
  <si>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</si>
  <si>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</si>
  <si>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</si>
  <si>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</si>
  <si>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</si>
  <si>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</si>
  <si>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</si>
  <si>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</si>
  <si>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</si>
  <si>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</si>
  <si>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</si>
  <si>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</si>
  <si>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</si>
  <si>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</si>
  <si>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</si>
  <si>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</si>
  <si>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</si>
  <si>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</si>
  <si>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</si>
  <si>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</si>
  <si>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</si>
  <si>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</si>
  <si>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</si>
  <si>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</si>
  <si>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</si>
  <si>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</si>
  <si>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</si>
  <si>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</si>
  <si>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</si>
  <si>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</si>
  <si>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</si>
  <si>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</si>
  <si>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</si>
  <si>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</si>
  <si>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</si>
  <si>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</si>
  <si>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</si>
  <si>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</si>
  <si>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</si>
  <si>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</si>
  <si>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</si>
  <si>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</si>
  <si>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</si>
  <si>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</si>
  <si>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</si>
  <si>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</si>
  <si>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</si>
  <si>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</si>
  <si>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</si>
  <si>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</si>
  <si>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</si>
  <si>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</si>
  <si>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</si>
  <si>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</si>
  <si>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</si>
  <si>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</si>
  <si>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</si>
  <si>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</si>
  <si>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</si>
  <si>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</si>
  <si>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</si>
  <si>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</si>
  <si>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</si>
  <si>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</si>
  <si>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</si>
  <si>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</si>
  <si>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</si>
  <si>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</si>
  <si>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</si>
  <si>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</si>
  <si>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</si>
  <si>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</si>
  <si>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</si>
  <si>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</si>
  <si>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</si>
  <si>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</si>
  <si>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</si>
  <si>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</si>
  <si>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</si>
  <si>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</si>
  <si>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</si>
  <si>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</si>
  <si>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</si>
  <si>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</si>
  <si>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</si>
  <si>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</si>
  <si>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</si>
  <si>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</si>
  <si>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</si>
  <si>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</si>
  <si>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</si>
  <si>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</si>
  <si>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</si>
  <si>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</si>
  <si>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</si>
  <si>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</si>
  <si>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</si>
  <si>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</si>
  <si>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</si>
  <si>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</si>
  <si>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</si>
  <si>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</si>
  <si>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</si>
  <si>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</si>
  <si>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</si>
  <si>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</si>
  <si>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</si>
  <si>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</si>
  <si>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</si>
  <si>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</si>
  <si>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</si>
  <si>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</si>
  <si>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</si>
  <si>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</si>
  <si>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</si>
  <si>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</si>
  <si>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</si>
  <si>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</si>
  <si>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</si>
  <si>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</si>
  <si>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</si>
  <si>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</si>
  <si>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</si>
  <si>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</si>
  <si>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</si>
  <si>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</si>
  <si>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</si>
  <si>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</si>
  <si>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</si>
  <si>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</si>
  <si>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</si>
  <si>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</si>
  <si>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</si>
  <si>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</si>
  <si>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</si>
  <si>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</si>
  <si>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</si>
  <si>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</si>
  <si>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</si>
  <si>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</si>
  <si>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</si>
  <si>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</si>
  <si>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</si>
  <si>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</si>
  <si>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</si>
  <si>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</si>
  <si>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</si>
  <si>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</si>
  <si>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</si>
  <si>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</si>
  <si>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</si>
  <si>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</si>
  <si>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</si>
  <si>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</si>
  <si>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</si>
  <si>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</si>
  <si>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</si>
  <si>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</si>
  <si>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</si>
  <si>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</si>
  <si>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</si>
  <si>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</si>
  <si>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</si>
  <si>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</si>
  <si>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</si>
  <si>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</si>
  <si>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</si>
  <si>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</si>
  <si>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</si>
  <si>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</si>
  <si>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</si>
  <si>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</si>
  <si>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</si>
  <si>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</si>
  <si>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</si>
  <si>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</si>
  <si>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</si>
  <si>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</si>
  <si>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</si>
  <si>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</si>
  <si>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</si>
  <si>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</si>
  <si>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</si>
  <si>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</si>
  <si>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</si>
  <si>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</si>
  <si>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</si>
  <si>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</si>
  <si>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</si>
  <si>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</si>
  <si>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</si>
  <si>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</si>
  <si>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</si>
  <si>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</si>
  <si>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</si>
  <si>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</si>
  <si>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</si>
  <si>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</si>
  <si>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</si>
  <si>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</si>
  <si>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</si>
  <si>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</si>
  <si>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</si>
  <si>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</si>
  <si>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</si>
  <si>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</si>
  <si>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</si>
  <si>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</si>
  <si>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</si>
  <si>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</si>
  <si>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</si>
  <si>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</si>
  <si>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</si>
  <si>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</si>
  <si>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</si>
  <si>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</si>
  <si>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</si>
  <si>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</si>
  <si>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</si>
  <si>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</si>
  <si>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</si>
  <si>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</si>
  <si>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</si>
  <si>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</si>
  <si>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</si>
  <si>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</si>
  <si>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</si>
  <si>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</si>
  <si>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</si>
  <si>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</si>
  <si>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</si>
  <si>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</si>
  <si>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</si>
  <si>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</si>
  <si>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</si>
  <si>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</si>
  <si>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</si>
  <si>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</si>
  <si>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</si>
  <si>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</si>
  <si>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</si>
  <si>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</si>
  <si>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</si>
  <si>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</si>
  <si>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</si>
  <si>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</si>
  <si>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</si>
  <si>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</si>
  <si>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</si>
  <si>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</si>
  <si>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</si>
  <si>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</si>
  <si>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</si>
  <si>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</si>
  <si>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</si>
  <si>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</si>
  <si>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</si>
  <si>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</si>
  <si>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</si>
  <si>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</si>
  <si>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</si>
  <si>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</si>
  <si>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</si>
  <si>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</si>
  <si>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</si>
  <si>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</si>
  <si>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</si>
  <si>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</si>
  <si>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</si>
  <si>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</si>
  <si>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</si>
  <si>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</si>
  <si>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</si>
  <si>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</si>
  <si>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</si>
  <si>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</si>
  <si>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</si>
  <si>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</si>
  <si>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</si>
  <si>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</si>
  <si>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</si>
  <si>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</si>
  <si>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</si>
  <si>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</si>
  <si>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</si>
  <si>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</si>
  <si>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</si>
  <si>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</si>
  <si>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</si>
  <si>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</si>
  <si>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</si>
  <si>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</si>
  <si>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</si>
  <si>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</si>
  <si>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</si>
  <si>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</si>
  <si>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</si>
  <si>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</si>
  <si>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</si>
  <si>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</si>
  <si>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</si>
  <si>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</si>
  <si>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</si>
  <si>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</si>
  <si>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</si>
  <si>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</si>
  <si>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</si>
  <si>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</si>
  <si>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</si>
  <si>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</si>
  <si>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</si>
  <si>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</si>
  <si>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</si>
  <si>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</si>
  <si>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</si>
  <si>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</si>
  <si>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</si>
  <si>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</si>
  <si>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</si>
  <si>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</si>
  <si>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</si>
  <si>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</si>
  <si>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</si>
  <si>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</si>
  <si>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</si>
  <si>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</si>
  <si>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</si>
  <si>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</si>
  <si>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</si>
  <si>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</si>
  <si>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</si>
  <si>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</si>
  <si>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</si>
  <si>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</si>
  <si>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</si>
  <si>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</si>
  <si>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</si>
  <si>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</si>
  <si>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</si>
  <si>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</si>
  <si>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</si>
  <si>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</si>
  <si>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</si>
  <si>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</si>
  <si>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</si>
  <si>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</si>
  <si>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</si>
  <si>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</si>
  <si>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</si>
  <si>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</si>
  <si>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</si>
  <si>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</si>
  <si>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</si>
  <si>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</si>
  <si>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</si>
  <si>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</si>
  <si>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</si>
  <si>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</si>
  <si>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</si>
  <si>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</si>
  <si>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</si>
  <si>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</si>
  <si>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</si>
  <si>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</si>
  <si>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</si>
  <si>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</si>
  <si>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</si>
  <si>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</si>
  <si>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</si>
  <si>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</si>
  <si>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</si>
  <si>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</si>
  <si>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</si>
  <si>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</si>
  <si>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</si>
  <si>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</si>
  <si>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</si>
  <si>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</si>
  <si>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</si>
  <si>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</si>
  <si>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</si>
  <si>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</si>
  <si>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</si>
  <si>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</si>
  <si>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</si>
  <si>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</si>
  <si>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</si>
  <si>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</si>
  <si>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</si>
  <si>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</si>
  <si>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</si>
  <si>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</si>
  <si>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</si>
  <si>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</si>
  <si>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</si>
  <si>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</si>
  <si>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</si>
  <si>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</si>
  <si>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</si>
  <si>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</si>
  <si>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</si>
  <si>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</si>
  <si>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</si>
  <si>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</si>
  <si>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</si>
  <si>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</si>
  <si>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</si>
  <si>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</si>
  <si>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</si>
  <si>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</si>
  <si>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</si>
  <si>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</si>
  <si>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</si>
  <si>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</si>
  <si>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</si>
  <si>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</si>
  <si>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</si>
  <si>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</si>
  <si>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</si>
  <si>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</si>
  <si>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</si>
  <si>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</si>
  <si>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</si>
  <si>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</si>
  <si>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</si>
  <si>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</si>
  <si>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</si>
  <si>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</si>
  <si>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</si>
  <si>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</si>
  <si>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</si>
  <si>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</si>
  <si>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</si>
  <si>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</si>
  <si>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</si>
  <si>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</si>
  <si>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</si>
  <si>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</si>
  <si>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</si>
  <si>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</si>
  <si>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</si>
  <si>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</si>
  <si>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</si>
  <si>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</si>
  <si>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</si>
  <si>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</si>
  <si>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</si>
  <si>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</si>
  <si>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</si>
  <si>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</si>
  <si>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</si>
  <si>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</si>
  <si>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</si>
  <si>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</si>
  <si>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</si>
  <si>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</si>
  <si>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</si>
  <si>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</si>
  <si>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</si>
  <si>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</si>
  <si>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</si>
  <si>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</si>
  <si>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</si>
  <si>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</si>
  <si>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</si>
  <si>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</si>
  <si>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</si>
  <si>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</si>
  <si>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</si>
  <si>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</si>
  <si>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</si>
  <si>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</si>
  <si>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</si>
  <si>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</si>
  <si>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</si>
  <si>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</si>
  <si>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</si>
  <si>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</si>
  <si>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</si>
  <si>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</si>
  <si>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</si>
  <si>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</si>
  <si>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</si>
  <si>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</si>
  <si>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</si>
  <si>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</si>
  <si>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</si>
  <si>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</si>
  <si>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</si>
  <si>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</si>
  <si>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</si>
  <si>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</si>
  <si>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</si>
  <si>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</si>
  <si>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</si>
  <si>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</si>
  <si>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</si>
  <si>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</si>
  <si>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</si>
  <si>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</si>
  <si>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</si>
  <si>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</si>
  <si>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</si>
  <si>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</si>
  <si>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</si>
  <si>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</si>
  <si>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</si>
  <si>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</si>
  <si>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</si>
  <si>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</si>
  <si>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</si>
  <si>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</si>
  <si>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</si>
  <si>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</si>
  <si>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</si>
  <si>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</si>
  <si>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</si>
  <si>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</si>
  <si>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</si>
  <si>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</si>
  <si>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</si>
  <si>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</si>
  <si>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</si>
  <si>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</si>
  <si>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</si>
  <si>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</si>
  <si>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</si>
  <si>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</si>
  <si>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</si>
  <si>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</si>
  <si>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</si>
  <si>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</si>
  <si>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</si>
  <si>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</si>
  <si>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</si>
  <si>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</si>
  <si>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</si>
  <si>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</si>
  <si>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</si>
  <si>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</si>
  <si>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</si>
  <si>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</si>
  <si>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</si>
  <si>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</si>
  <si>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</si>
  <si>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</si>
  <si>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</si>
  <si>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</si>
  <si>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</si>
  <si>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</si>
  <si>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</si>
  <si>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</si>
  <si>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</si>
  <si>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</si>
  <si>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</si>
  <si>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</si>
  <si>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</si>
  <si>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</si>
  <si>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</si>
  <si>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</si>
  <si>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</si>
  <si>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</si>
  <si>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</si>
  <si>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</si>
  <si>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</si>
  <si>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</si>
  <si>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</si>
  <si>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</si>
  <si>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</si>
  <si>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</si>
  <si>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</si>
  <si>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</si>
  <si>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</si>
  <si>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</si>
  <si>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</si>
  <si>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</si>
  <si>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</si>
  <si>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</si>
  <si>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</si>
  <si>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</si>
  <si>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</si>
  <si>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</si>
  <si>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</si>
  <si>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</si>
  <si>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</si>
  <si>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</si>
  <si>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</si>
  <si>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</si>
  <si>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</si>
  <si>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</si>
  <si>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</si>
  <si>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</si>
  <si>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</si>
  <si>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</si>
  <si>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</si>
  <si>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</si>
  <si>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</si>
  <si>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</si>
  <si>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</si>
  <si>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</si>
  <si>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</si>
  <si>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</si>
  <si>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</si>
  <si>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</si>
  <si>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</si>
  <si>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</si>
  <si>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</si>
  <si>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</si>
  <si>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</si>
  <si>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</si>
  <si>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</si>
  <si>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</si>
  <si>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</si>
  <si>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</si>
  <si>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</si>
  <si>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</si>
  <si>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</si>
  <si>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</si>
  <si>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</si>
  <si>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</si>
  <si>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</si>
  <si>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</si>
  <si>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</si>
  <si>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</si>
  <si>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</si>
  <si>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</si>
  <si>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</si>
  <si>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</si>
  <si>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</si>
  <si>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</si>
  <si>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</si>
  <si>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</si>
  <si>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</si>
  <si>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</si>
  <si>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</si>
  <si>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</si>
  <si>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</si>
  <si>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</si>
  <si>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</si>
  <si>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</si>
  <si>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</si>
  <si>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</si>
  <si>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</si>
  <si>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</si>
  <si>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</si>
  <si>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</si>
  <si>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</si>
  <si>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</si>
  <si>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</si>
  <si>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</si>
  <si>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</si>
  <si>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</si>
  <si>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</si>
  <si>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</si>
  <si>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</si>
  <si>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</si>
  <si>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</si>
  <si>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</si>
  <si>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</si>
  <si>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</si>
  <si>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</si>
  <si>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</si>
  <si>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</si>
  <si>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</si>
  <si>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</si>
  <si>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</si>
  <si>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</si>
  <si>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</si>
  <si>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</si>
  <si>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</si>
  <si>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</si>
  <si>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</si>
  <si>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</si>
  <si>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</si>
  <si>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</si>
  <si>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</si>
  <si>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</si>
  <si>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</si>
  <si>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</si>
  <si>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</si>
  <si>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</si>
  <si>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</si>
  <si>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</si>
  <si>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</si>
  <si>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</si>
  <si>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</si>
  <si>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</si>
  <si>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</si>
  <si>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</si>
  <si>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</si>
  <si>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</si>
  <si>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</si>
  <si>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</si>
  <si>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</si>
  <si>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</si>
  <si>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</si>
  <si>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</si>
  <si>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</si>
  <si>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</si>
  <si>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</si>
  <si>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</si>
  <si>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</si>
  <si>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</si>
  <si>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</si>
  <si>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</si>
  <si>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</si>
  <si>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</si>
  <si>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</si>
  <si>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</si>
  <si>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</si>
  <si>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</si>
  <si>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</si>
  <si>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</si>
  <si>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</si>
  <si>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</si>
  <si>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</si>
  <si>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</si>
  <si>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</si>
  <si>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</si>
  <si>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</si>
  <si>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</si>
  <si>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</si>
  <si>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</si>
  <si>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</si>
  <si>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</si>
  <si>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</si>
  <si>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</si>
  <si>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</si>
  <si>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</si>
  <si>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</si>
  <si>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</si>
  <si>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</si>
  <si>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</si>
  <si>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</si>
  <si>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</si>
  <si>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</si>
  <si>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</si>
  <si>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</si>
  <si>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</si>
  <si>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</si>
  <si>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</si>
  <si>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</si>
  <si>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</si>
  <si>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</si>
  <si>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</si>
  <si>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</si>
  <si>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</si>
  <si>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</si>
  <si>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</si>
  <si>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</si>
  <si>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</si>
  <si>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</si>
  <si>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</si>
  <si>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</si>
  <si>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</si>
  <si>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</si>
  <si>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</si>
  <si>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</si>
  <si>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</si>
  <si>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</si>
  <si>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</si>
  <si>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</si>
  <si>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</si>
  <si>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</si>
  <si>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</si>
  <si>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</si>
  <si>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</si>
  <si>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</si>
  <si>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</si>
  <si>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</si>
  <si>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</si>
  <si>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</si>
  <si>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</si>
  <si>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</si>
  <si>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</si>
  <si>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</si>
  <si>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</si>
  <si>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</si>
  <si>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</si>
  <si>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</si>
  <si>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</si>
  <si>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</si>
  <si>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</si>
  <si>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</si>
  <si>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</si>
  <si>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</si>
  <si>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</si>
  <si>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</si>
  <si>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</si>
  <si>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</si>
  <si>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</si>
  <si>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</si>
  <si>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</si>
  <si>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</si>
  <si>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</si>
  <si>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</si>
  <si>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</si>
  <si>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</si>
  <si>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</si>
  <si>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</si>
  <si>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</si>
  <si>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</si>
  <si>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</si>
  <si>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</si>
  <si>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</si>
  <si>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</si>
  <si>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</si>
  <si>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</si>
  <si>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</si>
  <si>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</si>
  <si>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</si>
  <si>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</si>
  <si>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</si>
  <si>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</si>
  <si>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</si>
  <si>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</si>
  <si>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</si>
  <si>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</si>
  <si>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</si>
  <si>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</si>
  <si>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</si>
  <si>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</si>
  <si>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</si>
  <si>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</si>
  <si>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</si>
  <si>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</si>
  <si>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</si>
  <si>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</si>
  <si>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</si>
  <si>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</si>
  <si>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</si>
  <si>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</si>
  <si>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</si>
  <si>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</si>
  <si>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</si>
  <si>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</si>
  <si>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</si>
  <si>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</si>
  <si>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</si>
  <si>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</si>
  <si>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</si>
  <si>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</si>
  <si>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</si>
  <si>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</si>
  <si>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</si>
  <si>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</si>
  <si>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</si>
  <si>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</si>
  <si>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</si>
  <si>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</si>
  <si>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</si>
  <si>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</si>
  <si>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</si>
  <si>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</si>
  <si>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</si>
  <si>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</si>
  <si>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</si>
  <si>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</si>
  <si>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</si>
  <si>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</si>
  <si>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</si>
  <si>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</si>
  <si>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</si>
  <si>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</si>
  <si>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</si>
  <si>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</si>
  <si>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</si>
  <si>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</si>
  <si>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</si>
  <si>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</si>
  <si>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</si>
  <si>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</si>
  <si>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</si>
  <si>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</si>
  <si>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</si>
  <si>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</si>
  <si>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</si>
  <si>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</si>
  <si>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</si>
  <si>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</si>
  <si>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</si>
  <si>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</si>
  <si>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</si>
  <si>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</si>
  <si>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</si>
  <si>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</si>
  <si>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</si>
  <si>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</si>
  <si>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</si>
  <si>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</si>
  <si>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</si>
  <si>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</si>
  <si>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</si>
  <si>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</si>
  <si>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</si>
  <si>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</si>
  <si>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</si>
  <si>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</si>
  <si>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</si>
  <si>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</si>
  <si>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</si>
  <si>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</si>
  <si>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</si>
  <si>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</si>
  <si>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</si>
  <si>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</si>
  <si>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</si>
  <si>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</si>
  <si>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</si>
  <si>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</si>
  <si>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</si>
  <si>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</si>
  <si>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</si>
  <si>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</si>
  <si>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</si>
  <si>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</si>
  <si>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</si>
  <si>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</si>
  <si>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</si>
  <si>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</si>
  <si>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</si>
  <si>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</si>
  <si>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</si>
  <si>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</si>
  <si>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</si>
  <si>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</si>
  <si>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</si>
  <si>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</si>
  <si>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</si>
  <si>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</si>
  <si>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</si>
  <si>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</si>
  <si>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</si>
  <si>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</si>
  <si>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</si>
  <si>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</si>
  <si>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</si>
  <si>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</si>
  <si>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</si>
  <si>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</si>
  <si>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</si>
  <si>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</si>
  <si>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</si>
  <si>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</si>
  <si>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</si>
  <si>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</si>
  <si>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</si>
  <si>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</si>
  <si>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</si>
  <si>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</si>
  <si>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</si>
  <si>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</si>
  <si>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</si>
  <si>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</si>
  <si>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</si>
  <si>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</si>
  <si>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</si>
  <si>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</si>
  <si>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</si>
  <si>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</si>
  <si>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</si>
  <si>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</si>
  <si>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</si>
  <si>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</si>
  <si>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</si>
  <si>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</si>
  <si>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</si>
  <si>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</si>
  <si>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</si>
  <si>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</si>
  <si>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</si>
  <si>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</si>
  <si>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</si>
  <si>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</si>
  <si>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</si>
  <si>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</si>
  <si>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</si>
  <si>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</si>
  <si>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</si>
  <si>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</si>
  <si>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</si>
  <si>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</si>
  <si>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</si>
  <si>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</si>
  <si>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</si>
  <si>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</si>
  <si>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</si>
  <si>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</si>
  <si>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</si>
  <si>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</si>
  <si>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</si>
  <si>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</si>
  <si>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</si>
  <si>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</si>
  <si>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</si>
  <si>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</si>
  <si>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</si>
  <si>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</si>
  <si>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</si>
  <si>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</si>
  <si>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</si>
  <si>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</si>
  <si>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</si>
  <si>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</si>
  <si>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</si>
  <si>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</si>
  <si>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</si>
  <si>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</si>
  <si>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</si>
  <si>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</si>
  <si>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</si>
  <si>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</si>
  <si>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</si>
  <si>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</si>
  <si>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</si>
  <si>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</si>
  <si>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</si>
  <si>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</si>
  <si>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</si>
  <si>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</si>
  <si>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</si>
  <si>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</si>
  <si>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</si>
  <si>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</si>
  <si>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</si>
  <si>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</si>
  <si>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</si>
  <si>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</si>
  <si>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</si>
  <si>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</si>
  <si>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</si>
  <si>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</si>
  <si>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</si>
  <si>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</si>
  <si>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</si>
  <si>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</si>
  <si>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</si>
  <si>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</si>
  <si>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</si>
  <si>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</si>
  <si>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</si>
  <si>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</si>
  <si>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</si>
  <si>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</si>
  <si>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</si>
  <si>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</si>
  <si>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</si>
  <si>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</si>
  <si>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</si>
  <si>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</si>
  <si>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</si>
  <si>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</si>
  <si>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</si>
  <si>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</si>
  <si>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</si>
  <si>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</si>
  <si>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</si>
  <si>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</si>
  <si>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</si>
  <si>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</si>
  <si>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</si>
  <si>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</si>
  <si>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</si>
  <si>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</si>
  <si>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</si>
  <si>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</si>
  <si>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</si>
  <si>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</si>
  <si>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</si>
  <si>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</si>
  <si>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</si>
  <si>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</si>
  <si>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</si>
  <si>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</si>
  <si>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</si>
  <si>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</si>
  <si>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</si>
  <si>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</si>
  <si>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</si>
  <si>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</si>
  <si>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</si>
  <si>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</si>
  <si>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</si>
  <si>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</si>
  <si>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</si>
  <si>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</si>
  <si>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</si>
  <si>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</si>
  <si>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</si>
  <si>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</si>
  <si>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</si>
  <si>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</si>
  <si>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</si>
  <si>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</si>
  <si>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</si>
  <si>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</si>
  <si>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</si>
  <si>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</si>
  <si>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</si>
  <si>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</si>
  <si>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</si>
  <si>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</si>
  <si>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</si>
  <si>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</si>
  <si>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</si>
  <si>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</si>
  <si>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</si>
  <si>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</si>
  <si>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</si>
  <si>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</si>
  <si>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</si>
  <si>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</si>
  <si>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</si>
  <si>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</si>
  <si>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</si>
  <si>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</si>
  <si>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</si>
  <si>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</si>
  <si>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</si>
  <si>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</si>
  <si>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</si>
  <si>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</si>
  <si>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</si>
  <si>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</si>
  <si>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</si>
  <si>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</si>
  <si>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</si>
  <si>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</si>
  <si>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</si>
  <si>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</si>
  <si>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</si>
  <si>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</si>
  <si>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</si>
  <si>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</si>
  <si>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</si>
  <si>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</si>
  <si>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</si>
  <si>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</si>
  <si>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</si>
  <si>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</si>
  <si>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</si>
  <si>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</si>
  <si>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</si>
  <si>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</si>
  <si>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</si>
  <si>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</si>
  <si>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</si>
  <si>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</si>
  <si>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</si>
  <si>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</si>
  <si>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</si>
  <si>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</si>
  <si>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</si>
  <si>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</si>
  <si>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</si>
  <si>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</si>
  <si>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</si>
  <si>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</si>
  <si>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</si>
  <si>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</si>
  <si>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</si>
  <si>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</si>
  <si>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</si>
  <si>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</si>
  <si>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</si>
  <si>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</si>
  <si>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</si>
  <si>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</si>
  <si>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</si>
  <si>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</si>
  <si>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</si>
  <si>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</si>
  <si>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</si>
  <si>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</si>
  <si>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</si>
  <si>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</si>
  <si>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</si>
  <si>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</si>
  <si>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</si>
  <si>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</si>
  <si>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</si>
  <si>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</si>
  <si>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</si>
  <si>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</si>
  <si>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</si>
  <si>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</si>
  <si>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</si>
  <si>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</si>
  <si>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</si>
  <si>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</si>
  <si>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</si>
  <si>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</si>
  <si>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</si>
  <si>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</si>
  <si>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</si>
  <si>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</si>
  <si>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</si>
  <si>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</si>
  <si>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</si>
  <si>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</si>
  <si>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</si>
  <si>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</si>
  <si>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</si>
  <si>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</si>
  <si>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</si>
  <si>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</si>
  <si>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</si>
  <si>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</si>
  <si>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</si>
  <si>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</si>
  <si>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</si>
  <si>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</si>
  <si>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</si>
  <si>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</si>
  <si>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</si>
  <si>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</si>
  <si>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</si>
  <si>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</si>
  <si>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</si>
  <si>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</si>
  <si>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</si>
  <si>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</si>
  <si>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</si>
  <si>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</si>
  <si>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</si>
  <si>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</si>
  <si>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</si>
  <si>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</si>
  <si>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</si>
  <si>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</si>
  <si>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</si>
  <si>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</si>
  <si>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</si>
  <si>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</si>
  <si>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</si>
  <si>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</si>
  <si>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</si>
  <si>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</si>
  <si>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</si>
  <si>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</si>
  <si>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</si>
  <si>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</si>
  <si>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</si>
  <si>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</si>
  <si>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</si>
  <si>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</si>
  <si>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</si>
  <si>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</si>
  <si>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</si>
  <si>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</si>
  <si>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</si>
  <si>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</si>
  <si>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</si>
  <si>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</si>
  <si>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</si>
  <si>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</si>
  <si>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</si>
  <si>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</si>
  <si>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</si>
  <si>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</si>
  <si>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</si>
  <si>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</si>
  <si>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</si>
  <si>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</si>
  <si>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</si>
  <si>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</si>
  <si>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</si>
  <si>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</si>
  <si>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</si>
  <si>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</si>
  <si>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</si>
  <si>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</si>
  <si>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</si>
  <si>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</si>
  <si>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</si>
  <si>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</si>
  <si>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</si>
  <si>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</si>
  <si>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</si>
  <si>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</si>
  <si>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</si>
  <si>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</si>
  <si>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</si>
  <si>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</si>
  <si>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</si>
  <si>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</si>
  <si>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</si>
  <si>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</si>
  <si>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</si>
  <si>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</si>
  <si>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</si>
  <si>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</si>
  <si>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</si>
  <si>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</si>
  <si>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</si>
  <si>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</si>
  <si>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</si>
  <si>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</si>
  <si>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</si>
  <si>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</si>
  <si>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</si>
  <si>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</si>
  <si>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</si>
  <si>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</si>
  <si>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</si>
  <si>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</si>
  <si>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</si>
  <si>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</si>
  <si>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</si>
  <si>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</si>
  <si>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</si>
  <si>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</si>
  <si>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</si>
  <si>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</si>
  <si>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</si>
  <si>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</si>
  <si>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</si>
  <si>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</si>
  <si>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</si>
  <si>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</si>
  <si>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</si>
  <si>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</si>
  <si>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</si>
  <si>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</si>
  <si>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</si>
  <si>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</si>
  <si>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</si>
  <si>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</si>
  <si>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</si>
  <si>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</si>
  <si>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</si>
  <si>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</si>
  <si>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</si>
  <si>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</si>
  <si>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</si>
  <si>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</si>
  <si>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</si>
  <si>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</si>
  <si>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</si>
  <si>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</si>
  <si>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</si>
  <si>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</si>
  <si>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</si>
  <si>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</si>
  <si>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</si>
  <si>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</si>
  <si>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</si>
  <si>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</si>
  <si>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</si>
  <si>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</si>
  <si>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</si>
  <si>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</si>
  <si>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</si>
  <si>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</si>
  <si>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</si>
  <si>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</si>
  <si>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</si>
  <si>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</si>
  <si>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</si>
  <si>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</si>
  <si>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</si>
  <si>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</si>
  <si>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</si>
  <si>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</si>
  <si>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</si>
  <si>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</si>
  <si>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</si>
  <si>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</si>
  <si>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</si>
  <si>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</si>
  <si>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</si>
  <si>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</si>
  <si>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</si>
  <si>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</si>
  <si>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</si>
  <si>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</si>
  <si>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</si>
  <si>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</si>
  <si>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</si>
  <si>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</si>
  <si>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</si>
  <si>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</si>
  <si>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</si>
  <si>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</si>
  <si>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</si>
  <si>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</si>
  <si>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</si>
  <si>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</si>
  <si>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</si>
  <si>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</si>
  <si>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</si>
  <si>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</si>
  <si>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</si>
  <si>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</si>
  <si>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</si>
  <si>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</si>
  <si>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</si>
  <si>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</si>
  <si>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</si>
  <si>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</si>
  <si>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</si>
  <si>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</si>
  <si>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</si>
  <si>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</si>
  <si>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</si>
  <si>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</si>
  <si>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</si>
  <si>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</si>
  <si>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</si>
  <si>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</si>
  <si>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</si>
  <si>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</si>
  <si>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</si>
  <si>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</si>
  <si>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</si>
  <si>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</si>
  <si>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</si>
  <si>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</si>
  <si>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</si>
  <si>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</si>
  <si>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</si>
  <si>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</si>
  <si>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</si>
  <si>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</si>
  <si>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</si>
  <si>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</si>
  <si>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</si>
  <si>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</si>
  <si>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</si>
  <si>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</si>
  <si>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</si>
  <si>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</si>
  <si>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</si>
  <si>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</si>
  <si>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</si>
  <si>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</si>
  <si>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</si>
  <si>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</si>
  <si>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</si>
  <si>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</si>
  <si>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</si>
  <si>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</si>
  <si>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</si>
  <si>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</si>
  <si>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</si>
  <si>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</si>
  <si>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</si>
  <si>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</si>
  <si>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</si>
  <si>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</si>
  <si>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</si>
  <si>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</si>
  <si>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</si>
  <si>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</si>
  <si>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</si>
  <si>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</si>
  <si>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</si>
  <si>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</si>
  <si>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</si>
  <si>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</si>
  <si>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</si>
  <si>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</si>
  <si>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</si>
  <si>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</si>
  <si>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</si>
  <si>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</si>
  <si>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</si>
  <si>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</si>
  <si>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</si>
  <si>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</si>
  <si>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</si>
  <si>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</si>
  <si>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</si>
  <si>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</si>
  <si>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</si>
  <si>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</si>
  <si>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</si>
  <si>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</si>
  <si>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</si>
  <si>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</si>
  <si>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</si>
  <si>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</si>
  <si>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</si>
  <si>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</si>
  <si>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</si>
  <si>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</si>
  <si>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</si>
  <si>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</si>
  <si>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</si>
  <si>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</si>
  <si>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</si>
  <si>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</si>
  <si>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</si>
  <si>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</si>
  <si>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</si>
  <si>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</si>
  <si>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</si>
  <si>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</si>
  <si>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</si>
  <si>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</si>
  <si>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</si>
  <si>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</si>
  <si>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</si>
  <si>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</si>
  <si>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</si>
  <si>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</si>
  <si>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</si>
  <si>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</si>
  <si>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</si>
  <si>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</si>
  <si>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</si>
  <si>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</si>
  <si>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</si>
  <si>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</si>
  <si>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</si>
  <si>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</si>
  <si>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</si>
  <si>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</si>
  <si>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</si>
  <si>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</si>
  <si>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</si>
  <si>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</si>
  <si>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</si>
  <si>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</si>
  <si>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</si>
  <si>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</si>
  <si>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</si>
  <si>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</si>
  <si>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</si>
  <si>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</si>
  <si>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</si>
  <si>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</si>
  <si>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</si>
  <si>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</si>
  <si>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</si>
  <si>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</si>
  <si>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</si>
  <si>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</si>
  <si>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</si>
  <si>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</si>
  <si>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</si>
  <si>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</si>
  <si>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</si>
  <si>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</si>
  <si>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</si>
  <si>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</si>
  <si>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</si>
  <si>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</si>
  <si>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</si>
  <si>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</si>
  <si>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</si>
  <si>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</si>
  <si>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</si>
  <si>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</si>
  <si>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</si>
  <si>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</si>
  <si>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</si>
  <si>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</si>
  <si>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</si>
  <si>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</si>
  <si>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</si>
  <si>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</si>
  <si>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</si>
  <si>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</si>
  <si>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</si>
  <si>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</si>
  <si>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</si>
  <si>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</si>
  <si>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</si>
  <si>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</si>
  <si>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</si>
  <si>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</si>
  <si>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</si>
  <si>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</si>
  <si>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</si>
  <si>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</si>
  <si>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</si>
  <si>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</si>
  <si>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</si>
  <si>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</si>
  <si>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</si>
  <si>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</si>
  <si>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</si>
  <si>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</si>
  <si>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</si>
  <si>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</si>
  <si>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</si>
  <si>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</si>
  <si>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</si>
  <si>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</si>
  <si>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</si>
  <si>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</si>
  <si>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</si>
  <si>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</si>
  <si>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</si>
  <si>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</si>
  <si>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</si>
  <si>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</si>
  <si>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</si>
  <si>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</si>
  <si>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</si>
  <si>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</si>
  <si>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</si>
  <si>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</si>
  <si>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</si>
  <si>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</si>
  <si>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</si>
  <si>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</si>
  <si>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</si>
  <si>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</si>
  <si>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</si>
  <si>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</si>
  <si>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</si>
  <si>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</si>
  <si>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</si>
  <si>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</si>
  <si>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</si>
  <si>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</si>
  <si>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</si>
  <si>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</si>
  <si>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</si>
  <si>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</si>
  <si>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</si>
  <si>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</si>
  <si>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</si>
  <si>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</si>
  <si>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</si>
  <si>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</si>
  <si>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</si>
  <si>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</si>
  <si>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</si>
  <si>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</si>
  <si>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</si>
  <si>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</si>
  <si>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</si>
  <si>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</si>
  <si>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</si>
  <si>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</si>
  <si>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</si>
  <si>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</si>
  <si>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</si>
  <si>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</si>
  <si>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</si>
  <si>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</si>
  <si>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</si>
  <si>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</si>
  <si>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</si>
  <si>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</si>
  <si>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</si>
  <si>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</si>
  <si>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</si>
  <si>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</si>
  <si>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</si>
  <si>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</si>
  <si>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</si>
  <si>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</si>
  <si>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</si>
  <si>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</si>
  <si>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</si>
  <si>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</si>
  <si>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</si>
  <si>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</si>
  <si>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</si>
  <si>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</si>
  <si>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</si>
  <si>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</si>
  <si>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</si>
  <si>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</si>
  <si>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</si>
  <si>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</si>
  <si>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</si>
  <si>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</si>
  <si>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</si>
  <si>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</si>
  <si>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</si>
  <si>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</si>
  <si>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</si>
  <si>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</si>
  <si>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</si>
  <si>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</si>
  <si>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</si>
  <si>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</si>
  <si>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</si>
  <si>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</si>
  <si>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</si>
  <si>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</si>
  <si>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</si>
  <si>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</si>
  <si>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</si>
  <si>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</si>
  <si>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</si>
  <si>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</si>
  <si>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</si>
  <si>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</si>
  <si>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</si>
  <si>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</si>
  <si>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</si>
  <si>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</si>
  <si>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</si>
  <si>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</si>
  <si>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</si>
  <si>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</si>
  <si>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</si>
  <si>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</si>
  <si>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</si>
  <si>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</si>
  <si>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</si>
  <si>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</si>
  <si>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</si>
  <si>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</si>
  <si>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</si>
  <si>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</si>
  <si>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</si>
  <si>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</si>
  <si>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</si>
  <si>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</si>
  <si>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</si>
  <si>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</si>
  <si>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</si>
  <si>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</si>
  <si>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</si>
  <si>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</si>
  <si>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</si>
  <si>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</si>
  <si>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</si>
  <si>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</si>
  <si>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</si>
  <si>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</si>
  <si>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</si>
  <si>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</si>
  <si>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</si>
  <si>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</si>
  <si>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</si>
  <si>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</si>
  <si>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</si>
  <si>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</si>
  <si>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</si>
  <si>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</si>
  <si>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</si>
  <si>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</si>
  <si>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</si>
  <si>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</si>
  <si>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</si>
  <si>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</si>
  <si>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</si>
  <si>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</si>
  <si>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</si>
  <si>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</si>
  <si>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</si>
  <si>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</si>
  <si>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</si>
  <si>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</si>
  <si>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</si>
  <si>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</si>
  <si>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</si>
  <si>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</si>
  <si>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</si>
  <si>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</si>
  <si>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</si>
  <si>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</si>
  <si>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</si>
  <si>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</si>
  <si>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</si>
  <si>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</si>
  <si>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</si>
  <si>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</si>
  <si>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</si>
  <si>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</si>
  <si>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</si>
  <si>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</si>
  <si>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</si>
  <si>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</si>
  <si>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</si>
  <si>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</si>
  <si>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</si>
  <si>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</si>
  <si>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</si>
  <si>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</si>
  <si>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</si>
  <si>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</si>
  <si>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</si>
  <si>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</si>
  <si>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</si>
  <si>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</si>
  <si>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</si>
  <si>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</si>
  <si>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</si>
  <si>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</si>
  <si>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</si>
  <si>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</si>
  <si>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</si>
  <si>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</si>
  <si>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</si>
  <si>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</si>
  <si>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</si>
  <si>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</si>
  <si>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</si>
  <si>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</si>
  <si>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</si>
  <si>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</si>
  <si>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</si>
  <si>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</si>
  <si>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</si>
  <si>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</si>
  <si>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</si>
  <si>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</si>
  <si>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</si>
  <si>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</si>
  <si>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</si>
  <si>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</si>
  <si>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</si>
  <si>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</si>
  <si>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</si>
  <si>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</si>
  <si>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</si>
  <si>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</si>
  <si>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</si>
  <si>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</si>
  <si>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</si>
  <si>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</si>
  <si>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</si>
  <si>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</si>
  <si>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</si>
  <si>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</si>
  <si>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</si>
  <si>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</si>
  <si>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</si>
  <si>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</si>
  <si>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</si>
  <si>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</si>
  <si>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</si>
  <si>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</si>
  <si>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</si>
  <si>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</si>
  <si>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</si>
  <si>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</si>
  <si>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</si>
  <si>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</si>
  <si>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</si>
  <si>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</si>
  <si>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</si>
  <si>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</si>
  <si>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</si>
  <si>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</si>
  <si>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</si>
  <si>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</si>
  <si>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</si>
  <si>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</si>
  <si>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</si>
  <si>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</si>
  <si>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</si>
  <si>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</si>
  <si>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</si>
  <si>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</si>
  <si>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</si>
  <si>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</si>
  <si>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</si>
  <si>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</si>
  <si>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</si>
  <si>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</si>
  <si>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</si>
  <si>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</si>
  <si>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</si>
  <si>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</si>
  <si>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</si>
  <si>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</si>
  <si>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</si>
  <si>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</si>
  <si>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</si>
  <si>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</si>
  <si>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</si>
  <si>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</si>
  <si>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</si>
  <si>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</si>
  <si>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</si>
  <si>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</si>
  <si>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</si>
  <si>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</si>
  <si>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</si>
  <si>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</si>
  <si>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</si>
  <si>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</si>
  <si>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</si>
  <si>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</si>
  <si>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</si>
  <si>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</si>
  <si>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</si>
  <si>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</si>
  <si>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</si>
  <si>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</si>
  <si>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</si>
  <si>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</si>
  <si>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</si>
  <si>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</si>
  <si>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</si>
  <si>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</si>
  <si>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</si>
  <si>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</si>
  <si>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</si>
  <si>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</si>
  <si>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</si>
  <si>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</si>
  <si>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</si>
  <si>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</si>
  <si>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</si>
  <si>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</si>
  <si>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</si>
  <si>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</si>
  <si>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</si>
  <si>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</si>
  <si>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</si>
  <si>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</si>
  <si>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</si>
  <si>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</si>
  <si>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</si>
  <si>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</si>
  <si>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</si>
  <si>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</si>
  <si>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</si>
  <si>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</si>
  <si>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</si>
  <si>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</si>
  <si>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</si>
  <si>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</si>
  <si>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</si>
  <si>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</si>
  <si>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</si>
  <si>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</si>
  <si>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</si>
  <si>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</si>
  <si>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</si>
  <si>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</si>
  <si>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</si>
  <si>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</si>
  <si>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</si>
  <si>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</si>
  <si>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</si>
  <si>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</si>
  <si>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</si>
  <si>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</si>
  <si>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</si>
  <si>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</si>
  <si>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</si>
  <si>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</si>
  <si>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</si>
  <si>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</si>
  <si>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</si>
  <si>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</si>
  <si>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</si>
  <si>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</si>
  <si>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</si>
  <si>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</si>
  <si>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</si>
  <si>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</si>
  <si>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</si>
  <si>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</si>
  <si>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</si>
  <si>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</si>
  <si>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</si>
  <si>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</si>
  <si>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</si>
  <si>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</si>
  <si>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</si>
  <si>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</si>
  <si>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</si>
  <si>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</si>
  <si>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</si>
  <si>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</si>
  <si>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</si>
  <si>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</si>
  <si>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</si>
  <si>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</si>
  <si>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</si>
  <si>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</si>
  <si>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</si>
  <si>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</si>
  <si>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</si>
  <si>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</si>
  <si>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</si>
  <si>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</si>
  <si>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</si>
  <si>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</si>
  <si>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</si>
  <si>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</si>
  <si>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</si>
  <si>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</si>
  <si>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</si>
  <si>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</si>
  <si>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</si>
  <si>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</si>
  <si>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</si>
  <si>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</si>
  <si>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</si>
  <si>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</si>
  <si>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</si>
  <si>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</si>
  <si>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</si>
  <si>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</si>
  <si>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</si>
  <si>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</si>
  <si>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</si>
  <si>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</si>
  <si>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</si>
  <si>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</si>
  <si>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</si>
  <si>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</si>
  <si>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</si>
  <si>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</si>
  <si>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</si>
  <si>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</si>
  <si>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</si>
  <si>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</si>
  <si>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</si>
  <si>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</si>
  <si>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</si>
  <si>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</si>
  <si>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</si>
  <si>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</si>
  <si>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</si>
  <si>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</si>
  <si>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</si>
  <si>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</si>
  <si>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</si>
  <si>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</si>
  <si>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</si>
  <si>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</si>
  <si>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</si>
  <si>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</si>
  <si>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</si>
  <si>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</si>
  <si>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</si>
  <si>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</si>
  <si>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</si>
  <si>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</si>
  <si>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</si>
  <si>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</si>
  <si>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</si>
  <si>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</si>
  <si>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</si>
  <si>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</si>
  <si>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</si>
  <si>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</si>
  <si>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</si>
  <si>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</si>
  <si>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</si>
  <si>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</si>
  <si>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</si>
  <si>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</si>
  <si>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</si>
  <si>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</si>
  <si>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</si>
  <si>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</si>
  <si>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</si>
  <si>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</si>
  <si>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</si>
  <si>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</si>
  <si>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</si>
  <si>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</si>
  <si>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</si>
  <si>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</si>
  <si>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</si>
  <si>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</si>
  <si>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</si>
  <si>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</si>
  <si>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</si>
  <si>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</si>
  <si>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</si>
  <si>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</si>
  <si>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</si>
  <si>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</si>
  <si>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</si>
  <si>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</si>
  <si>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</si>
  <si>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</si>
  <si>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</si>
  <si>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</si>
  <si>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</si>
  <si>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</si>
  <si>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</si>
  <si>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</si>
  <si>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</si>
  <si>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</si>
  <si>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</si>
  <si>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</si>
  <si>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</si>
  <si>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</si>
  <si>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</si>
  <si>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</si>
  <si>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</si>
  <si>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</si>
  <si>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</si>
  <si>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</si>
  <si>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</si>
  <si>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</si>
  <si>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</si>
  <si>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</si>
  <si>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</si>
  <si>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</si>
  <si>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</si>
  <si>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</si>
  <si>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</si>
  <si>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</si>
  <si>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</si>
  <si>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</si>
  <si>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</si>
  <si>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</si>
  <si>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</si>
  <si>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</si>
  <si>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</si>
  <si>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</si>
  <si>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</si>
  <si>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</si>
  <si>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</si>
  <si>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</si>
  <si>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</si>
  <si>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</si>
  <si>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</si>
  <si>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</si>
  <si>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</si>
  <si>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</si>
  <si>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</si>
  <si>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</si>
  <si>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</si>
  <si>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</si>
  <si>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</si>
  <si>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</si>
  <si>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</si>
  <si>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</si>
  <si>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</si>
  <si>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</si>
  <si>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</si>
  <si>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</si>
  <si>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</si>
  <si>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</si>
  <si>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</si>
  <si>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</si>
  <si>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</si>
  <si>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</si>
  <si>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</si>
  <si>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</si>
  <si>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</si>
  <si>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</si>
  <si>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</si>
  <si>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</si>
  <si>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</si>
  <si>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</si>
  <si>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</si>
  <si>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</si>
  <si>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</si>
  <si>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</si>
  <si>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</si>
  <si>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</si>
  <si>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</si>
  <si>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</si>
  <si>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</si>
  <si>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</si>
  <si>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</si>
  <si>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</si>
  <si>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</si>
  <si>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</si>
  <si>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</si>
  <si>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</si>
  <si>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</si>
  <si>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</si>
  <si>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</si>
  <si>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</si>
  <si>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</si>
  <si>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</si>
  <si>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</si>
  <si>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</si>
  <si>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</si>
  <si>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</si>
  <si>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</si>
  <si>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</si>
  <si>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</si>
  <si>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</si>
  <si>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</si>
  <si>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</si>
  <si>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</si>
  <si>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</si>
  <si>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</si>
  <si>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</si>
  <si>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</si>
  <si>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</si>
  <si>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</si>
  <si>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</si>
  <si>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</si>
  <si>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</si>
  <si>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</si>
  <si>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</si>
  <si>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</si>
  <si>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</si>
  <si>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</si>
  <si>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</si>
  <si>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</si>
  <si>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</si>
  <si>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</si>
  <si>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</si>
  <si>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</si>
  <si>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</si>
  <si>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</si>
  <si>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</si>
  <si>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</si>
  <si>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</si>
  <si>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</si>
  <si>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</si>
  <si>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</si>
  <si>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</si>
  <si>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</si>
  <si>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</si>
  <si>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</si>
  <si>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</si>
  <si>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</si>
  <si>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</si>
  <si>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</si>
  <si>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</si>
  <si>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</si>
  <si>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</si>
  <si>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</si>
  <si>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</si>
  <si>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</si>
  <si>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</si>
  <si>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</si>
  <si>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</si>
  <si>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</si>
  <si>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</si>
  <si>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</si>
  <si>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</si>
  <si>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</si>
  <si>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</si>
  <si>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</si>
  <si>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</si>
  <si>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</si>
  <si>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</si>
  <si>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</si>
  <si>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</si>
  <si>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</si>
  <si>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</si>
  <si>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</si>
  <si>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</si>
  <si>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</si>
  <si>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</si>
  <si>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</si>
  <si>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</si>
  <si>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</si>
  <si>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</si>
  <si>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</si>
  <si>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</si>
  <si>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</si>
  <si>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</si>
  <si>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</si>
  <si>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</si>
  <si>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</si>
  <si>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</si>
  <si>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</si>
  <si>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</si>
  <si>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</si>
  <si>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</si>
  <si>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</si>
  <si>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</si>
  <si>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</si>
  <si>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</si>
  <si>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</si>
  <si>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</si>
  <si>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</si>
  <si>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</si>
  <si>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</si>
  <si>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</si>
  <si>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</si>
  <si>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</si>
  <si>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</si>
  <si>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</si>
  <si>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</si>
  <si>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</si>
  <si>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</si>
  <si>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</si>
  <si>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</si>
  <si>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</si>
  <si>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</si>
  <si>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</si>
  <si>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</si>
  <si>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</si>
  <si>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</si>
  <si>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</si>
  <si>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</si>
  <si>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</si>
  <si>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</si>
  <si>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</si>
  <si>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</si>
  <si>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</si>
  <si>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</si>
  <si>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</si>
  <si>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</si>
  <si>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</si>
  <si>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</si>
  <si>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</si>
  <si>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</si>
  <si>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</si>
  <si>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</si>
  <si>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</si>
  <si>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</si>
  <si>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</si>
  <si>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</si>
  <si>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</si>
  <si>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</si>
  <si>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</si>
  <si>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</si>
  <si>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</si>
  <si>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</si>
  <si>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</si>
  <si>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</si>
  <si>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</si>
  <si>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</si>
  <si>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</si>
  <si>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</si>
  <si>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</si>
  <si>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</si>
  <si>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</si>
  <si>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</si>
  <si>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</si>
  <si>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</si>
  <si>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</si>
  <si>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</si>
  <si>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</si>
  <si>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</si>
  <si>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</si>
  <si>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</si>
  <si>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</si>
  <si>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</si>
  <si>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</si>
  <si>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</si>
  <si>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</si>
  <si>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</si>
  <si>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</si>
  <si>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</si>
  <si>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</si>
  <si>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</si>
  <si>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</si>
  <si>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</si>
  <si>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</si>
  <si>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</si>
  <si>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</si>
  <si>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</si>
  <si>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</si>
  <si>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</si>
  <si>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</si>
  <si>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</si>
  <si>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</si>
  <si>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</si>
  <si>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</si>
  <si>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</si>
  <si>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</si>
  <si>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</si>
  <si>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</si>
  <si>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</si>
  <si>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</si>
  <si>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</si>
  <si>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</si>
  <si>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</si>
  <si>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</si>
  <si>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</si>
  <si>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</si>
  <si>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</si>
  <si>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</si>
  <si>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</si>
  <si>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</si>
  <si>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</si>
  <si>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</si>
  <si>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</si>
  <si>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</si>
  <si>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</si>
  <si>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</si>
  <si>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</si>
  <si>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</si>
  <si>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</si>
  <si>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</si>
  <si>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</si>
  <si>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</si>
  <si>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</si>
  <si>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</si>
  <si>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</si>
  <si>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</si>
  <si>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</si>
  <si>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</si>
  <si>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</si>
  <si>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</si>
  <si>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</si>
  <si>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</si>
  <si>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</si>
  <si>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</si>
  <si>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</si>
  <si>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</si>
  <si>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</si>
  <si>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</si>
  <si>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</si>
  <si>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</si>
  <si>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</si>
  <si>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</si>
  <si>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</si>
  <si>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</si>
  <si>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</si>
  <si>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</si>
  <si>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</si>
  <si>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</si>
  <si>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</si>
  <si>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</si>
  <si>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</si>
  <si>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</si>
  <si>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</si>
  <si>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</si>
  <si>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</si>
  <si>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</si>
  <si>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</si>
  <si>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</si>
  <si>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</si>
  <si>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</si>
  <si>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</si>
  <si>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</si>
  <si>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</si>
  <si>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</si>
  <si>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</si>
  <si>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</si>
  <si>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</si>
  <si>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</si>
  <si>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</si>
  <si>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</si>
  <si>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</si>
  <si>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</si>
  <si>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</si>
  <si>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</si>
  <si>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</si>
  <si>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</si>
  <si>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</si>
  <si>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</si>
  <si>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</si>
  <si>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</si>
  <si>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</si>
  <si>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</si>
  <si>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</si>
  <si>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</si>
  <si>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</si>
  <si>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</si>
  <si>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</si>
  <si>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</si>
  <si>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</si>
  <si>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</si>
  <si>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</si>
  <si>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</si>
  <si>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</si>
  <si>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</si>
  <si>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</si>
  <si>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</si>
  <si>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</si>
  <si>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</si>
  <si>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</si>
  <si>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</si>
  <si>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</si>
  <si>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</si>
  <si>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</si>
  <si>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</si>
  <si>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</si>
  <si>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</si>
  <si>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</si>
  <si>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</si>
  <si>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</si>
  <si>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</si>
  <si>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</si>
  <si>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</si>
  <si>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</si>
  <si>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</si>
  <si>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</si>
  <si>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</si>
  <si>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</si>
  <si>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</si>
  <si>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</si>
  <si>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</si>
  <si>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</si>
  <si>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</si>
  <si>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</si>
  <si>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</si>
  <si>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</si>
  <si>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</si>
  <si>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</si>
  <si>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</si>
  <si>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</si>
  <si>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</si>
  <si>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</si>
  <si>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</si>
  <si>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</si>
  <si>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</si>
  <si>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</si>
  <si>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</si>
  <si>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</si>
  <si>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</si>
  <si>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</si>
  <si>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</si>
  <si>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</si>
  <si>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</si>
  <si>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</si>
  <si>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</si>
  <si>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</si>
  <si>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</si>
  <si>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</si>
  <si>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</si>
  <si>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</si>
  <si>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</si>
  <si>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</si>
  <si>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</si>
  <si>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</si>
  <si>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</si>
  <si>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</si>
  <si>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</si>
  <si>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</si>
  <si>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</si>
  <si>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</si>
  <si>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</si>
  <si>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</si>
  <si>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</si>
  <si>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</si>
  <si>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</si>
  <si>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</si>
  <si>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</si>
  <si>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</si>
  <si>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</si>
  <si>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</si>
  <si>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</si>
  <si>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</si>
  <si>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</si>
  <si>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</si>
  <si>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</si>
  <si>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</si>
  <si>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</si>
  <si>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</si>
  <si>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</si>
  <si>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</si>
  <si>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</si>
  <si>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</si>
  <si>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</si>
  <si>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</si>
  <si>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</si>
  <si>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</si>
  <si>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</si>
  <si>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</si>
  <si>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</si>
  <si>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</si>
  <si>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</si>
  <si>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</si>
  <si>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</si>
  <si>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</si>
  <si>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</si>
  <si>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</si>
  <si>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</si>
  <si>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</si>
  <si>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</si>
  <si>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</si>
  <si>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</si>
  <si>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</si>
  <si>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</si>
  <si>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</si>
  <si>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</si>
  <si>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</si>
  <si>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</si>
  <si>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</si>
  <si>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</si>
  <si>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</si>
  <si>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</si>
  <si>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</si>
  <si>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</si>
  <si>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</si>
  <si>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</si>
  <si>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</si>
  <si>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</si>
  <si>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</si>
  <si>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</si>
  <si>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</si>
  <si>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</si>
  <si>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</si>
  <si>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</si>
  <si>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</si>
  <si>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</si>
  <si>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</si>
  <si>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</si>
  <si>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</si>
  <si>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</si>
  <si>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</si>
  <si>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</si>
  <si>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</si>
  <si>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</si>
  <si>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</si>
  <si>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</si>
  <si>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</si>
  <si>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</si>
  <si>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</si>
  <si>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</si>
  <si>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</si>
  <si>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</si>
  <si>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</si>
  <si>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</si>
  <si>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</si>
  <si>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</si>
  <si>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</si>
  <si>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</si>
  <si>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</si>
  <si>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</si>
  <si>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</si>
  <si>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</si>
  <si>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</si>
  <si>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</si>
  <si>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</si>
  <si>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</si>
  <si>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</si>
  <si>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</si>
  <si>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</si>
  <si>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</si>
  <si>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</si>
  <si>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</si>
  <si>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</si>
  <si>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</si>
  <si>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</si>
  <si>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</si>
  <si>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</si>
  <si>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</si>
  <si>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</si>
  <si>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</si>
  <si>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</si>
  <si>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</si>
  <si>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</si>
  <si>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</si>
  <si>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</si>
  <si>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</si>
  <si>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</si>
  <si>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</si>
  <si>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</si>
  <si>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</si>
  <si>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</si>
  <si>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</si>
  <si>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</si>
  <si>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</si>
  <si>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</si>
  <si>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</si>
  <si>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</si>
  <si>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</si>
  <si>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</si>
  <si>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</si>
  <si>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</si>
  <si>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</si>
  <si>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</si>
  <si>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</si>
  <si>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</si>
  <si>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</si>
  <si>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</si>
  <si>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</si>
  <si>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</si>
  <si>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</si>
  <si>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</si>
  <si>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</si>
  <si>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</si>
  <si>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</si>
  <si>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</si>
  <si>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</si>
  <si>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</si>
  <si>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</si>
  <si>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</si>
  <si>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</si>
  <si>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</si>
  <si>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</si>
  <si>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</si>
  <si>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</si>
  <si>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</si>
  <si>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</si>
  <si>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</si>
  <si>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</si>
  <si>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</si>
  <si>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</si>
  <si>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</si>
  <si>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</si>
  <si>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</si>
  <si>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</si>
  <si>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</si>
  <si>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</si>
  <si>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</si>
  <si>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</si>
  <si>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</si>
  <si>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</si>
  <si>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</si>
  <si>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</si>
  <si>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</si>
  <si>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</si>
  <si>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</si>
  <si>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</si>
  <si>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</si>
  <si>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</si>
  <si>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</si>
  <si>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</si>
  <si>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</si>
  <si>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</si>
  <si>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</si>
  <si>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</si>
  <si>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</si>
  <si>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</si>
  <si>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</si>
  <si>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</si>
  <si>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</si>
  <si>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</si>
  <si>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</si>
  <si>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</si>
  <si>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</si>
  <si>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</si>
  <si>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</si>
  <si>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</si>
  <si>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</si>
  <si>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</si>
  <si>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</si>
  <si>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</si>
  <si>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</si>
  <si>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</si>
  <si>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</si>
  <si>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</si>
  <si>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</si>
  <si>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</si>
  <si>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</si>
  <si>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</si>
  <si>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</si>
  <si>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</si>
  <si>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</si>
  <si>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</si>
  <si>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</si>
  <si>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</si>
  <si>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</si>
  <si>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</si>
  <si>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</si>
  <si>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</si>
  <si>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</si>
  <si>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</si>
  <si>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</si>
  <si>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</si>
  <si>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</si>
  <si>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</si>
  <si>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</si>
  <si>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</si>
  <si>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</si>
  <si>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</si>
  <si>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</si>
  <si>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</si>
  <si>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</si>
  <si>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</si>
  <si>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</si>
  <si>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</si>
  <si>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</si>
  <si>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</si>
  <si>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</si>
  <si>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</si>
  <si>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</si>
  <si>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</si>
  <si>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</si>
  <si>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</si>
  <si>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</si>
  <si>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</si>
  <si>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</si>
  <si>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</si>
  <si>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</si>
  <si>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</si>
  <si>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</si>
  <si>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</si>
  <si>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</si>
  <si>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</si>
  <si>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</si>
  <si>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</si>
  <si>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</si>
  <si>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</si>
  <si>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</si>
  <si>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</si>
  <si>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</si>
  <si>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</si>
  <si>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</si>
  <si>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</si>
  <si>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</si>
  <si>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</si>
  <si>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</si>
  <si>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</si>
  <si>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</si>
  <si>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</si>
  <si>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</si>
  <si>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</si>
  <si>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</si>
  <si>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</si>
  <si>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</si>
  <si>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</si>
  <si>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</si>
  <si>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</si>
  <si>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</si>
  <si>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</si>
  <si>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</si>
  <si>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</si>
  <si>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</si>
  <si>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</si>
  <si>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</si>
  <si>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</si>
  <si>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</si>
  <si>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</si>
  <si>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</si>
  <si>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</si>
  <si>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</si>
  <si>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</si>
  <si>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</si>
  <si>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</si>
  <si>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</si>
  <si>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</si>
  <si>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</si>
  <si>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</si>
  <si>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</si>
  <si>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</si>
  <si>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</si>
  <si>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</si>
  <si>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</si>
  <si>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</si>
  <si>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</si>
  <si>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</si>
  <si>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</si>
  <si>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</si>
  <si>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</si>
  <si>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</si>
  <si>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</si>
  <si>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</si>
  <si>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</si>
  <si>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</si>
  <si>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</si>
  <si>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</si>
  <si>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</si>
  <si>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</si>
  <si>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</si>
  <si>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</si>
  <si>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</si>
  <si>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</si>
  <si>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</si>
  <si>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</si>
  <si>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</si>
  <si>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</si>
  <si>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</si>
  <si>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</si>
  <si>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</si>
  <si>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</si>
  <si>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</si>
  <si>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</si>
  <si>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</si>
  <si>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</si>
  <si>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</si>
  <si>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</si>
  <si>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</si>
  <si>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</si>
  <si>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</si>
  <si>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</si>
  <si>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</si>
  <si>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</si>
  <si>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</si>
  <si>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</si>
  <si>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</si>
  <si>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</si>
  <si>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</si>
  <si>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</si>
  <si>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</si>
  <si>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</si>
  <si>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</si>
  <si>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</si>
  <si>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</si>
  <si>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</si>
  <si>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</si>
  <si>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</si>
  <si>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</si>
  <si>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</si>
  <si>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</si>
  <si>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</si>
  <si>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</si>
  <si>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</si>
  <si>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</si>
  <si>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</si>
  <si>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</si>
  <si>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</si>
  <si>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</si>
  <si>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</si>
  <si>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</si>
  <si>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</si>
  <si>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</si>
  <si>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</si>
  <si>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</si>
  <si>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</si>
  <si>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</si>
  <si>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</si>
  <si>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</si>
  <si>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</si>
  <si>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</si>
  <si>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</si>
  <si>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</si>
  <si>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</si>
  <si>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</si>
  <si>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</si>
  <si>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</si>
  <si>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</si>
  <si>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</si>
  <si>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</si>
  <si>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</si>
  <si>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</si>
  <si>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</si>
  <si>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</si>
  <si>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</si>
  <si>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</si>
  <si>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</si>
  <si>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</si>
  <si>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</si>
  <si>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</si>
  <si>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</si>
  <si>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</si>
  <si>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</si>
  <si>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</si>
  <si>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</si>
  <si>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</si>
  <si>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</si>
  <si>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</si>
  <si>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</si>
  <si>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</si>
  <si>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</si>
  <si>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</si>
  <si>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</si>
  <si>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</si>
  <si>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</si>
  <si>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</si>
  <si>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</si>
  <si>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</si>
  <si>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</si>
  <si>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</si>
  <si>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</si>
  <si>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</si>
  <si>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</si>
  <si>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</si>
  <si>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</si>
  <si>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</si>
  <si>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</si>
  <si>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</si>
  <si>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</si>
  <si>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</si>
  <si>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</si>
  <si>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</si>
  <si>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</si>
  <si>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</si>
  <si>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</si>
  <si>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</si>
  <si>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</si>
  <si>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</si>
  <si>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</si>
  <si>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</si>
  <si>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</si>
  <si>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</si>
  <si>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</si>
  <si>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</si>
  <si>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</si>
  <si>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</si>
  <si>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</si>
  <si>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</si>
  <si>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</si>
  <si>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</si>
  <si>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</si>
  <si>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</si>
  <si>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</si>
  <si>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</si>
  <si>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</si>
  <si>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</si>
  <si>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</si>
  <si>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</si>
  <si>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</si>
  <si>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</si>
  <si>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</si>
  <si>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</si>
  <si>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</si>
  <si>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</si>
  <si>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</si>
  <si>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</si>
  <si>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</si>
  <si>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</si>
  <si>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</si>
  <si>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</si>
  <si>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</si>
  <si>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</si>
  <si>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</si>
  <si>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</si>
  <si>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</si>
  <si>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</si>
  <si>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</si>
  <si>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</si>
  <si>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</si>
  <si>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</si>
  <si>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</si>
  <si>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</si>
  <si>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</si>
  <si>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</si>
  <si>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</si>
  <si>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</si>
  <si>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</si>
  <si>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</si>
  <si>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</si>
  <si>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</si>
  <si>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</si>
  <si>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</si>
  <si>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</si>
  <si>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</si>
  <si>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</si>
  <si>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</si>
  <si>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</si>
  <si>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</si>
  <si>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</si>
  <si>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</si>
  <si>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</si>
  <si>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</si>
  <si>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</si>
  <si>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</si>
  <si>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</si>
  <si>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</si>
  <si>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</si>
  <si>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</si>
  <si>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</si>
  <si>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</si>
  <si>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</si>
  <si>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</si>
  <si>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</si>
  <si>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</si>
  <si>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</si>
  <si>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</si>
  <si>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</si>
  <si>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</si>
  <si>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</si>
  <si>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</si>
  <si>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</si>
  <si>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</si>
  <si>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</si>
  <si>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</si>
  <si>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</si>
  <si>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</si>
  <si>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</si>
  <si>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</si>
  <si>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</si>
  <si>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</si>
  <si>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</si>
  <si>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</si>
  <si>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</si>
  <si>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</si>
  <si>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</si>
  <si>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</si>
  <si>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</si>
  <si>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</si>
  <si>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</si>
  <si>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</si>
  <si>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</si>
  <si>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</si>
  <si>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</si>
  <si>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</si>
  <si>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</si>
  <si>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</si>
  <si>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</si>
  <si>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</si>
  <si>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</si>
  <si>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</si>
  <si>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</si>
  <si>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</si>
  <si>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</si>
  <si>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</si>
  <si>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</si>
  <si>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</si>
  <si>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</si>
  <si>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</si>
  <si>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</si>
  <si>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</si>
  <si>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</si>
  <si>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</si>
  <si>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</si>
  <si>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</si>
  <si>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</si>
  <si>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</si>
  <si>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</si>
  <si>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</si>
  <si>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</si>
  <si>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</si>
  <si>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</si>
  <si>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</si>
  <si>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</si>
  <si>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</si>
  <si>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</si>
  <si>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</si>
  <si>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</si>
  <si>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</si>
  <si>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</si>
  <si>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</si>
  <si>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</si>
  <si>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</si>
  <si>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</si>
  <si>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</si>
  <si>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</si>
  <si>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</si>
  <si>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</si>
  <si>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</si>
  <si>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</si>
  <si>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</si>
  <si>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</si>
  <si>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</si>
  <si>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</si>
  <si>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</si>
  <si>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</si>
  <si>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</si>
  <si>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</si>
  <si>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</si>
  <si>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</si>
  <si>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</si>
  <si>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</si>
  <si>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</si>
  <si>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</si>
  <si>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</si>
  <si>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</si>
  <si>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</si>
  <si>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</si>
  <si>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</si>
  <si>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</si>
  <si>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</si>
  <si>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</si>
  <si>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</si>
  <si>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</si>
  <si>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</si>
  <si>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</si>
  <si>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</si>
  <si>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</si>
  <si>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</si>
  <si>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</si>
  <si>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</si>
  <si>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</si>
  <si>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</si>
  <si>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</si>
  <si>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</si>
  <si>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</si>
  <si>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</si>
  <si>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</si>
  <si>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</si>
  <si>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</si>
  <si>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</si>
  <si>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</si>
  <si>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</si>
  <si>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</si>
  <si>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</si>
  <si>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</si>
  <si>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</si>
  <si>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</si>
  <si>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</si>
  <si>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</si>
  <si>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</si>
  <si>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</si>
  <si>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</si>
  <si>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</si>
  <si>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</si>
  <si>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</si>
  <si>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</si>
  <si>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</si>
  <si>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</si>
  <si>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</si>
  <si>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</si>
  <si>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</si>
  <si>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</si>
  <si>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</si>
  <si>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</si>
  <si>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</si>
  <si>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</si>
  <si>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</si>
  <si>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</si>
  <si>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</si>
  <si>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</si>
  <si>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</si>
  <si>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</si>
  <si>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</si>
  <si>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</si>
  <si>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</si>
  <si>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</si>
  <si>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</si>
  <si>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</si>
  <si>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</si>
  <si>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</si>
  <si>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</si>
  <si>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</si>
  <si>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</si>
  <si>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</si>
  <si>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</si>
  <si>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</si>
  <si>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</si>
  <si>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</si>
  <si>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</si>
  <si>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</si>
  <si>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</si>
  <si>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</si>
  <si>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</si>
  <si>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</si>
  <si>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</si>
  <si>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</si>
  <si>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</si>
  <si>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</si>
  <si>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</si>
  <si>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</si>
  <si>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</si>
  <si>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</si>
  <si>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</si>
  <si>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</si>
  <si>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</si>
  <si>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</si>
  <si>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</si>
  <si>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</si>
  <si>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</si>
  <si>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</si>
  <si>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</si>
  <si>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</si>
  <si>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</si>
  <si>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</si>
  <si>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</si>
  <si>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</si>
  <si>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</si>
  <si>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</si>
  <si>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</si>
  <si>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</si>
  <si>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</si>
  <si>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</si>
  <si>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</si>
  <si>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</si>
  <si>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</si>
  <si>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</si>
  <si>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</si>
  <si>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</si>
  <si>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</si>
  <si>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</si>
  <si>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</si>
  <si>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</si>
  <si>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</si>
  <si>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</si>
  <si>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</si>
  <si>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</si>
  <si>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</si>
  <si>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</si>
  <si>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</si>
  <si>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</si>
  <si>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</si>
  <si>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</si>
  <si>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</si>
  <si>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</si>
  <si>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</si>
  <si>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</si>
  <si>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</si>
  <si>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</si>
  <si>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</si>
  <si>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</si>
  <si>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</si>
  <si>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</si>
  <si>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</si>
  <si>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</si>
  <si>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</si>
  <si>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</si>
  <si>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</si>
  <si>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</si>
  <si>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</si>
  <si>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</si>
  <si>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</si>
  <si>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</si>
  <si>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</si>
  <si>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</si>
  <si>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</si>
  <si>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</si>
  <si>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</si>
  <si>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</si>
  <si>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</si>
  <si>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</si>
  <si>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</si>
  <si>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</si>
  <si>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</si>
  <si>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</si>
  <si>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</si>
  <si>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</si>
  <si>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</si>
  <si>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</si>
  <si>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</si>
  <si>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</si>
  <si>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</si>
  <si>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</si>
  <si>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</si>
  <si>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</si>
  <si>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</si>
  <si>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</si>
  <si>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</si>
  <si>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</si>
  <si>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</si>
  <si>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</si>
  <si>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</si>
  <si>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</si>
  <si>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</si>
  <si>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</si>
  <si>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</si>
  <si>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</si>
  <si>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</si>
  <si>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</si>
  <si>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</si>
  <si>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</si>
  <si>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</si>
  <si>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</si>
  <si>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</si>
  <si>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</si>
  <si>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</si>
  <si>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</si>
  <si>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</si>
  <si>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</si>
  <si>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</si>
  <si>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</si>
  <si>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</si>
  <si>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</si>
  <si>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</si>
  <si>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</si>
  <si>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</si>
  <si>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</si>
  <si>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</si>
  <si>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</si>
  <si>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</si>
  <si>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</si>
  <si>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</si>
  <si>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</si>
  <si>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</si>
  <si>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</si>
  <si>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</si>
  <si>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</si>
  <si>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</si>
  <si>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</si>
  <si>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</si>
  <si>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</si>
  <si>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</si>
  <si>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</si>
  <si>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</si>
  <si>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</si>
  <si>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</si>
  <si>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</si>
  <si>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</si>
  <si>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</si>
  <si>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</si>
  <si>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</si>
  <si>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</si>
  <si>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</si>
  <si>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</si>
  <si>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</si>
  <si>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</si>
  <si>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</si>
  <si>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</si>
  <si>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</si>
  <si>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</si>
  <si>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</si>
  <si>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</si>
  <si>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</si>
  <si>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</si>
  <si>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</si>
  <si>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</si>
  <si>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</si>
  <si>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</si>
  <si>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</si>
  <si>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</si>
  <si>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</si>
  <si>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</si>
  <si>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</si>
  <si>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</si>
  <si>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</si>
  <si>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</si>
  <si>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</si>
  <si>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</si>
  <si>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</si>
  <si>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</si>
  <si>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</si>
  <si>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</si>
  <si>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</si>
  <si>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</si>
  <si>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</si>
  <si>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</si>
  <si>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</si>
  <si>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</si>
  <si>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</si>
  <si>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</si>
  <si>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</si>
  <si>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</si>
  <si>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</si>
  <si>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</si>
  <si>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</si>
  <si>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</si>
  <si>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</si>
  <si>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</si>
  <si>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</si>
  <si>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</si>
  <si>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</si>
  <si>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</si>
  <si>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</si>
  <si>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</si>
  <si>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</si>
  <si>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</si>
  <si>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</si>
  <si>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</si>
  <si>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</si>
  <si>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</si>
  <si>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</si>
  <si>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</si>
  <si>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</si>
  <si>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</si>
  <si>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</si>
  <si>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</si>
  <si>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</si>
  <si>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</si>
  <si>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</si>
  <si>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</si>
  <si>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</si>
  <si>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</si>
  <si>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</si>
  <si>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</si>
  <si>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</si>
  <si>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</si>
  <si>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</si>
  <si>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</si>
  <si>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</si>
  <si>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</si>
  <si>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</si>
  <si>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</si>
  <si>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</si>
  <si>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</si>
  <si>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</si>
  <si>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</si>
  <si>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</si>
  <si>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</si>
  <si>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</si>
  <si>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</si>
  <si>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</si>
  <si>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</si>
  <si>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</si>
  <si>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</si>
  <si>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</si>
  <si>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</si>
  <si>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</si>
  <si>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</si>
  <si>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</si>
  <si>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</si>
  <si>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</si>
  <si>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</si>
  <si>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</si>
  <si>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</si>
  <si>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</si>
  <si>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</si>
  <si>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</si>
  <si>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</si>
  <si>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</si>
  <si>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</si>
  <si>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</si>
  <si>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</si>
  <si>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</si>
  <si>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</si>
  <si>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</si>
  <si>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</si>
  <si>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</si>
  <si>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</si>
  <si>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</si>
  <si>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</si>
  <si>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</si>
  <si>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</si>
  <si>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</si>
  <si>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</si>
  <si>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</si>
  <si>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</si>
  <si>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</si>
  <si>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</si>
  <si>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</si>
  <si>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</si>
  <si>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</si>
  <si>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</si>
  <si>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</si>
  <si>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</si>
  <si>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</si>
  <si>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</si>
  <si>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</si>
  <si>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</si>
  <si>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</si>
  <si>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</si>
  <si>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</si>
  <si>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</si>
  <si>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</si>
  <si>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</si>
  <si>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</si>
  <si>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</si>
  <si>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</si>
  <si>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</si>
  <si>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</si>
  <si>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</si>
  <si>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</si>
  <si>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</si>
  <si>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</si>
  <si>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</si>
  <si>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</si>
  <si>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</si>
  <si>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</si>
  <si>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</si>
  <si>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</si>
  <si>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</si>
  <si>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</si>
  <si>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</si>
  <si>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</si>
  <si>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</si>
  <si>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</si>
  <si>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</si>
  <si>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</si>
  <si>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</si>
  <si>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</si>
  <si>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</si>
  <si>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</si>
  <si>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</si>
  <si>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</si>
  <si>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</si>
  <si>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</si>
  <si>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</si>
  <si>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</si>
  <si>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</si>
  <si>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</si>
  <si>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</si>
  <si>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</si>
  <si>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</si>
  <si>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</si>
  <si>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</si>
  <si>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</si>
  <si>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</si>
  <si>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</si>
  <si>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</si>
  <si>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</si>
  <si>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</si>
  <si>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</si>
  <si>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</si>
  <si>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</si>
  <si>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</si>
  <si>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</si>
  <si>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</si>
  <si>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</si>
  <si>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</si>
  <si>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</si>
  <si>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</si>
  <si>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</si>
  <si>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</si>
  <si>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</si>
  <si>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</si>
  <si>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</si>
  <si>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</si>
  <si>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</si>
  <si>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</si>
  <si>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</si>
  <si>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</si>
  <si>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</si>
  <si>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</si>
  <si>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</si>
  <si>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</si>
  <si>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</si>
  <si>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</si>
  <si>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</si>
  <si>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</si>
  <si>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</si>
  <si>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</si>
  <si>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</si>
  <si>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</si>
  <si>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</si>
  <si>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</si>
  <si>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</si>
  <si>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</si>
  <si>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</si>
  <si>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</si>
  <si>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</si>
  <si>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</si>
  <si>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</si>
  <si>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</si>
  <si>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</si>
  <si>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</si>
  <si>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</si>
  <si>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</si>
  <si>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</si>
  <si>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</si>
  <si>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</si>
  <si>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</si>
  <si>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</si>
  <si>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</si>
  <si>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</si>
  <si>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</si>
  <si>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</si>
  <si>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</si>
  <si>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</si>
  <si>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</si>
  <si>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</si>
  <si>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</si>
  <si>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</si>
  <si>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</si>
  <si>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</si>
  <si>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</si>
  <si>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</si>
  <si>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</si>
  <si>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</si>
  <si>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</si>
  <si>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</si>
  <si>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</si>
  <si>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</si>
  <si>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</si>
  <si>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</si>
  <si>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</si>
  <si>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</si>
  <si>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</si>
  <si>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</si>
  <si>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</si>
  <si>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</si>
  <si>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</si>
  <si>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</si>
  <si>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</si>
  <si>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</si>
  <si>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</si>
  <si>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</si>
  <si>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</si>
  <si>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</si>
  <si>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</si>
  <si>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</si>
  <si>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</si>
  <si>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</si>
  <si>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</si>
  <si>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</si>
  <si>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</si>
  <si>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</si>
  <si>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</si>
  <si>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</si>
  <si>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</si>
  <si>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</si>
  <si>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</si>
  <si>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</si>
  <si>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</si>
  <si>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</si>
  <si>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</si>
  <si>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</si>
  <si>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</si>
  <si>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</si>
  <si>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</si>
  <si>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</si>
  <si>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</si>
  <si>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</si>
  <si>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</si>
  <si>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</si>
  <si>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</si>
  <si>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</si>
  <si>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</si>
  <si>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</si>
  <si>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</si>
  <si>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</si>
  <si>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</si>
  <si>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</si>
  <si>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</si>
  <si>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</si>
  <si>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</si>
  <si>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</si>
  <si>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</si>
  <si>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</si>
  <si>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</si>
  <si>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</si>
  <si>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</si>
  <si>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</si>
  <si>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</si>
  <si>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</si>
  <si>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</si>
  <si>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</si>
  <si>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</si>
  <si>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</si>
  <si>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</si>
  <si>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</si>
  <si>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</si>
  <si>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</si>
  <si>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</si>
  <si>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</si>
  <si>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</si>
  <si>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</si>
  <si>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</si>
  <si>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</si>
  <si>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</si>
  <si>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</si>
  <si>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</si>
  <si>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</si>
  <si>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</si>
  <si>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</si>
  <si>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</si>
  <si>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</si>
  <si>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</si>
  <si>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</si>
  <si>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</si>
  <si>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</si>
  <si>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</si>
  <si>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</si>
  <si>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</si>
  <si>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</si>
  <si>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</si>
  <si>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</si>
  <si>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</si>
  <si>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</si>
  <si>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</si>
  <si>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</si>
  <si>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</si>
  <si>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</si>
  <si>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</si>
  <si>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</si>
  <si>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</si>
  <si>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</si>
  <si>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</si>
  <si>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</si>
  <si>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</si>
  <si>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</si>
  <si>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</si>
  <si>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</si>
  <si>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</si>
  <si>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</si>
  <si>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</si>
  <si>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</si>
  <si>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</si>
  <si>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</si>
  <si>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</si>
  <si>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</si>
  <si>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</si>
  <si>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</si>
  <si>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</si>
  <si>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</si>
  <si>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</si>
  <si>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</si>
  <si>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</si>
  <si>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</si>
  <si>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</si>
  <si>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</si>
  <si>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</si>
  <si>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</si>
  <si>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</si>
  <si>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</si>
  <si>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</si>
  <si>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</si>
  <si>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</si>
  <si>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</si>
  <si>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</si>
  <si>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</si>
  <si>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</si>
  <si>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</si>
  <si>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</si>
  <si>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</si>
  <si>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</si>
  <si>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</si>
  <si>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</si>
  <si>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</si>
  <si>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</si>
  <si>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</si>
  <si>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</si>
  <si>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</si>
  <si>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</si>
  <si>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</si>
  <si>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</si>
  <si>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</si>
  <si>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</si>
  <si>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</si>
  <si>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</si>
  <si>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</si>
  <si>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</si>
  <si>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</si>
  <si>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</si>
  <si>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</si>
  <si>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</si>
  <si>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</si>
  <si>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</si>
  <si>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</si>
  <si>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</si>
  <si>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</si>
  <si>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</si>
  <si>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</si>
  <si>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</si>
  <si>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</si>
  <si>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</si>
  <si>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</si>
  <si>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</si>
  <si>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</si>
  <si>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</si>
  <si>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</si>
  <si>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</si>
  <si>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</si>
  <si>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</si>
  <si>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</si>
  <si>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</si>
  <si>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</si>
  <si>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</si>
  <si>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</si>
  <si>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</si>
  <si>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</si>
  <si>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</si>
  <si>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</si>
  <si>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</si>
  <si>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</si>
  <si>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</si>
  <si>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</si>
  <si>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</si>
  <si>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</si>
  <si>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</si>
  <si>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</si>
  <si>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</si>
  <si>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</si>
  <si>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</si>
  <si>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</si>
  <si>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</si>
  <si>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</si>
  <si>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</si>
  <si>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</si>
  <si>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</si>
  <si>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</si>
  <si>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</si>
  <si>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</si>
  <si>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</si>
  <si>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</si>
  <si>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</si>
  <si>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</si>
  <si>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</si>
  <si>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</si>
  <si>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</si>
  <si>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</si>
  <si>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</si>
  <si>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</si>
  <si>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</si>
  <si>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</si>
  <si>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</si>
  <si>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</si>
  <si>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</si>
  <si>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</si>
  <si>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</si>
  <si>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</si>
  <si>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</si>
  <si>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</si>
  <si>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</si>
  <si>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</si>
  <si>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</si>
  <si>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</si>
  <si>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</si>
  <si>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</si>
  <si>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</si>
  <si>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</si>
  <si>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</si>
  <si>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</si>
  <si>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</si>
  <si>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</si>
  <si>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</si>
  <si>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</si>
  <si>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</si>
  <si>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</si>
  <si>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</si>
  <si>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</si>
  <si>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</si>
  <si>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</si>
  <si>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</si>
  <si>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</si>
  <si>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</si>
  <si>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</si>
  <si>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</si>
  <si>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</si>
  <si>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</si>
  <si>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</si>
  <si>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</si>
  <si>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</si>
  <si>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</si>
  <si>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</si>
  <si>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</si>
  <si>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</si>
  <si>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</si>
  <si>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</si>
  <si>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</si>
  <si>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</si>
  <si>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</si>
  <si>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</si>
  <si>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</si>
  <si>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</si>
  <si>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</si>
  <si>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</si>
  <si>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</si>
  <si>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</si>
  <si>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</si>
  <si>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</si>
  <si>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</si>
  <si>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</si>
  <si>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</si>
  <si>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</si>
  <si>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</si>
  <si>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</si>
  <si>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</si>
  <si>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</si>
  <si>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</si>
  <si>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</si>
  <si>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</si>
  <si>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</si>
  <si>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</si>
  <si>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</si>
  <si>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</si>
  <si>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</si>
  <si>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</si>
  <si>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</si>
  <si>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</si>
  <si>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</si>
  <si>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</si>
  <si>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</si>
  <si>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</si>
  <si>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</si>
  <si>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</si>
  <si>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</si>
  <si>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</si>
  <si>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</si>
  <si>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</si>
  <si>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</si>
  <si>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</si>
  <si>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</si>
  <si>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</si>
  <si>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</si>
  <si>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</si>
  <si>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</si>
  <si>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</si>
  <si>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</si>
  <si>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</si>
  <si>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</si>
  <si>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</si>
  <si>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</si>
  <si>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</si>
  <si>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</si>
  <si>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</si>
  <si>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</si>
  <si>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</si>
  <si>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</si>
  <si>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</si>
  <si>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</si>
  <si>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</si>
  <si>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</si>
  <si>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</si>
  <si>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</si>
  <si>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</si>
  <si>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</si>
  <si>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</si>
  <si>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</si>
  <si>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</si>
  <si>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</si>
  <si>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</si>
  <si>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</si>
  <si>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</si>
  <si>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</si>
  <si>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</si>
  <si>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</si>
  <si>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</si>
  <si>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</si>
  <si>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</si>
  <si>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</si>
  <si>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</si>
  <si>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</si>
  <si>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</si>
  <si>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</si>
  <si>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</si>
  <si>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</si>
  <si>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</si>
  <si>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</si>
  <si>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</si>
  <si>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</si>
  <si>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</si>
  <si>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</si>
  <si>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</si>
  <si>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</si>
  <si>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</si>
  <si>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</si>
  <si>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</si>
  <si>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</si>
  <si>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</si>
  <si>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</si>
  <si>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</si>
  <si>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</si>
  <si>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</si>
  <si>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</si>
  <si>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</si>
  <si>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</si>
  <si>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</si>
  <si>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</si>
  <si>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</si>
  <si>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</si>
  <si>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</si>
  <si>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</si>
  <si>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</si>
  <si>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</si>
  <si>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</si>
  <si>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</si>
  <si>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</si>
  <si>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</si>
  <si>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</si>
  <si>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</si>
  <si>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</si>
  <si>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</si>
  <si>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</si>
  <si>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</si>
  <si>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</si>
  <si>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</si>
  <si>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</si>
  <si>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</si>
  <si>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</si>
  <si>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</si>
  <si>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</si>
  <si>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</si>
  <si>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</si>
  <si>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</si>
  <si>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</si>
  <si>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</si>
  <si>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</si>
  <si>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</si>
  <si>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</si>
  <si>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</si>
  <si>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</si>
  <si>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</si>
  <si>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</si>
  <si>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</si>
  <si>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</si>
  <si>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</si>
  <si>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</si>
  <si>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</si>
  <si>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</si>
  <si>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</si>
  <si>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</si>
  <si>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</si>
  <si>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</si>
  <si>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</si>
  <si>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</si>
  <si>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</si>
  <si>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</si>
  <si>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</si>
  <si>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</si>
  <si>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</si>
  <si>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</si>
  <si>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</si>
  <si>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</si>
  <si>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</si>
  <si>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</si>
  <si>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</si>
  <si>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</si>
  <si>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</si>
  <si>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</si>
  <si>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</si>
  <si>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</si>
  <si>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</si>
  <si>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</si>
  <si>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</si>
  <si>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</si>
  <si>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</si>
  <si>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</si>
  <si>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</si>
  <si>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</si>
  <si>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</si>
  <si>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</si>
  <si>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</si>
  <si>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</si>
  <si>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</si>
  <si>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</si>
  <si>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</si>
  <si>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</si>
  <si>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</si>
  <si>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</si>
  <si>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</si>
  <si>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</si>
  <si>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</si>
  <si>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</si>
  <si>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</si>
  <si>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</si>
  <si>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</si>
  <si>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</si>
  <si>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</si>
  <si>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</si>
  <si>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</si>
  <si>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</si>
  <si>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</si>
  <si>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</si>
  <si>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</si>
  <si>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</si>
  <si>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</si>
  <si>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</si>
  <si>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</si>
  <si>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</si>
  <si>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</si>
  <si>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</si>
  <si>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</si>
  <si>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</si>
  <si>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</si>
  <si>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</si>
  <si>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</si>
  <si>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</si>
  <si>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</si>
  <si>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</si>
  <si>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</si>
  <si>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</si>
  <si>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</si>
  <si>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</si>
  <si>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</si>
  <si>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</si>
  <si>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</si>
  <si>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</si>
  <si>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</si>
  <si>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</si>
  <si>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</si>
  <si>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</si>
  <si>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</si>
  <si>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</si>
  <si>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</si>
  <si>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</si>
  <si>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</si>
  <si>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</si>
  <si>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</si>
  <si>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</si>
  <si>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</si>
  <si>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</si>
  <si>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</si>
  <si>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</si>
  <si>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</si>
  <si>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</si>
  <si>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</si>
  <si>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</si>
  <si>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</si>
  <si>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</si>
  <si>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</si>
  <si>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</si>
  <si>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</si>
  <si>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</si>
  <si>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</si>
  <si>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</si>
  <si>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</si>
  <si>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</si>
  <si>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</si>
  <si>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</si>
  <si>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</si>
  <si>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</si>
  <si>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</si>
  <si>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</si>
  <si>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</si>
  <si>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</si>
  <si>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</si>
  <si>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</si>
  <si>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</si>
  <si>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</si>
  <si>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</si>
  <si>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</si>
  <si>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</si>
  <si>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</si>
  <si>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</si>
  <si>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</si>
  <si>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</si>
  <si>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</si>
  <si>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</si>
  <si>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</si>
  <si>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</si>
  <si>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</si>
  <si>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</si>
  <si>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</si>
  <si>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</si>
  <si>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</si>
  <si>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</si>
  <si>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</si>
  <si>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</si>
  <si>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</si>
  <si>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</si>
  <si>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</si>
  <si>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</si>
  <si>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</si>
  <si>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</si>
  <si>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</si>
  <si>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</si>
  <si>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</si>
  <si>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</si>
  <si>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</si>
  <si>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</si>
  <si>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</si>
  <si>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</si>
  <si>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</si>
  <si>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</si>
  <si>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</si>
  <si>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</si>
  <si>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</si>
  <si>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</si>
  <si>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</si>
  <si>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</si>
  <si>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</si>
  <si>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</si>
  <si>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</si>
  <si>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</si>
  <si>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</si>
  <si>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</si>
  <si>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</si>
  <si>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</si>
  <si>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</si>
  <si>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</si>
  <si>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</si>
  <si>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</si>
  <si>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</si>
  <si>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</si>
  <si>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</si>
  <si>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</si>
  <si>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</si>
  <si>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</si>
  <si>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</si>
  <si>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</si>
  <si>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</si>
  <si>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</si>
  <si>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</si>
  <si>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</si>
  <si>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</si>
  <si>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</si>
  <si>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</si>
  <si>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</si>
  <si>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</si>
  <si>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</si>
  <si>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</si>
  <si>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</si>
  <si>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</si>
  <si>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</si>
  <si>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</si>
  <si>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</si>
  <si>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</si>
  <si>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</si>
  <si>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</si>
  <si>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</si>
  <si>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</si>
  <si>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</si>
  <si>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</si>
  <si>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</si>
  <si>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</si>
  <si>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</si>
  <si>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</si>
  <si>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</si>
  <si>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</si>
  <si>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</si>
  <si>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</si>
  <si>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</si>
  <si>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</si>
  <si>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</si>
  <si>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</si>
  <si>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</si>
  <si>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</si>
  <si>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</si>
  <si>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</si>
  <si>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</si>
  <si>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</si>
  <si>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</si>
  <si>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</si>
  <si>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</si>
  <si>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</si>
  <si>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</si>
  <si>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</si>
  <si>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</si>
  <si>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</si>
  <si>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</si>
  <si>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</si>
  <si>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</si>
  <si>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</si>
  <si>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</si>
  <si>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</si>
  <si>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</si>
  <si>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</si>
  <si>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</si>
  <si>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</si>
  <si>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</si>
  <si>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</si>
  <si>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</si>
  <si>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</si>
  <si>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</si>
  <si>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</si>
  <si>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</si>
  <si>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</si>
  <si>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</si>
  <si>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</si>
  <si>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</si>
  <si>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</si>
  <si>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</si>
  <si>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</si>
  <si>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</si>
  <si>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</si>
  <si>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</si>
  <si>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</si>
  <si>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</si>
  <si>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</si>
  <si>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</si>
  <si>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</si>
  <si>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</si>
  <si>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</si>
  <si>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</si>
  <si>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</si>
  <si>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</si>
  <si>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</si>
  <si>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</si>
  <si>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</si>
  <si>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</si>
  <si>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</si>
  <si>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</si>
  <si>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</si>
  <si>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</si>
  <si>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</si>
  <si>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</si>
  <si>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</si>
  <si>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</si>
  <si>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</si>
  <si>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</si>
  <si>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</si>
  <si>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</si>
  <si>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</si>
  <si>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</si>
  <si>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</si>
  <si>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</si>
  <si>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</si>
  <si>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</si>
  <si>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</si>
  <si>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</si>
  <si>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</si>
  <si>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</si>
  <si>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</si>
  <si>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</si>
  <si>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</si>
  <si>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</si>
  <si>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</si>
  <si>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</si>
  <si>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</si>
  <si>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</si>
  <si>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</si>
  <si>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</si>
  <si>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</si>
  <si>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</si>
  <si>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</si>
  <si>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</si>
  <si>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</si>
  <si>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</si>
  <si>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</si>
  <si>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</si>
  <si>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</si>
  <si>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</si>
  <si>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</si>
  <si>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</si>
  <si>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</si>
  <si>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</si>
  <si>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</si>
  <si>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</si>
  <si>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</si>
  <si>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</si>
  <si>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</si>
  <si>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</si>
  <si>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</si>
  <si>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</si>
  <si>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</si>
  <si>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</si>
  <si>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</si>
  <si>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</si>
  <si>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</si>
  <si>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</si>
  <si>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</si>
  <si>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</si>
  <si>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</si>
  <si>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</si>
  <si>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</si>
  <si>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</si>
  <si>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</si>
  <si>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</si>
  <si>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</si>
  <si>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</si>
  <si>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</si>
  <si>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</si>
  <si>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</si>
  <si>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</si>
  <si>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</si>
  <si>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</si>
  <si>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</si>
  <si>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</si>
  <si>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</si>
  <si>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</si>
  <si>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</si>
  <si>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</si>
  <si>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</si>
  <si>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</si>
  <si>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</si>
  <si>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</si>
  <si>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</si>
  <si>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</si>
  <si>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</si>
  <si>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</si>
  <si>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</si>
  <si>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</si>
  <si>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</si>
  <si>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</si>
  <si>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</si>
  <si>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</si>
  <si>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</si>
  <si>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</si>
  <si>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</si>
  <si>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</si>
  <si>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</si>
  <si>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</si>
  <si>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</si>
  <si>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</si>
  <si>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</si>
  <si>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</si>
  <si>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</si>
  <si>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</si>
  <si>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</si>
  <si>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</si>
  <si>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</si>
  <si>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</si>
  <si>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</si>
  <si>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</si>
  <si>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</si>
  <si>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</si>
  <si>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</si>
  <si>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</si>
  <si>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</si>
  <si>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</si>
  <si>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</si>
  <si>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</si>
  <si>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</si>
  <si>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</si>
  <si>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</si>
  <si>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</si>
  <si>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</si>
  <si>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</si>
  <si>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</si>
  <si>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</si>
  <si>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</si>
  <si>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</si>
  <si>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</si>
  <si>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</si>
  <si>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</si>
  <si>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</si>
  <si>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</si>
  <si>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</si>
  <si>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</si>
  <si>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</si>
  <si>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</si>
  <si>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</si>
  <si>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</si>
  <si>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</si>
  <si>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</si>
  <si>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</si>
  <si>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</si>
  <si>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</si>
  <si>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</si>
  <si>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</si>
  <si>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</si>
  <si>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</si>
  <si>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</si>
  <si>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</si>
  <si>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</si>
  <si>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</si>
  <si>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</si>
  <si>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</si>
  <si>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</si>
  <si>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</si>
  <si>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</si>
  <si>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</si>
  <si>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</si>
  <si>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</si>
  <si>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</si>
  <si>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</si>
  <si>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</si>
  <si>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</si>
  <si>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</si>
  <si>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</si>
  <si>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</si>
  <si>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</si>
  <si>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</si>
  <si>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</si>
  <si>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</si>
  <si>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</si>
  <si>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</si>
  <si>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</si>
  <si>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</si>
  <si>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</si>
  <si>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</si>
  <si>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</si>
  <si>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</si>
  <si>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</si>
  <si>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</si>
  <si>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</si>
  <si>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</si>
  <si>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</si>
  <si>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</si>
  <si>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</si>
  <si>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</si>
  <si>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</si>
  <si>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</si>
  <si>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</si>
  <si>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</si>
  <si>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</si>
  <si>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</si>
  <si>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</si>
  <si>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</si>
  <si>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</si>
  <si>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</si>
  <si>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</si>
  <si>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</si>
  <si>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</si>
  <si>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</si>
  <si>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</si>
  <si>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</si>
  <si>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</si>
  <si>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</si>
  <si>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</si>
  <si>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</si>
  <si>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</si>
  <si>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</si>
  <si>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</si>
  <si>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</si>
  <si>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</si>
  <si>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</si>
  <si>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</si>
  <si>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</si>
  <si>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</si>
  <si>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</si>
  <si>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</si>
  <si>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</si>
  <si>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</si>
  <si>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</si>
  <si>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</si>
  <si>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</si>
  <si>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</si>
  <si>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</si>
  <si>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</si>
  <si>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</si>
  <si>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</si>
  <si>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</si>
  <si>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</si>
  <si>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</si>
  <si>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</si>
  <si>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</si>
  <si>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</si>
  <si>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</si>
  <si>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</si>
  <si>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</si>
  <si>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</si>
  <si>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</si>
  <si>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</si>
  <si>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</si>
  <si>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</si>
  <si>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</si>
  <si>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</si>
  <si>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</si>
  <si>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</si>
  <si>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</si>
  <si>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</si>
  <si>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</si>
  <si>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</si>
  <si>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</si>
  <si>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</si>
  <si>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</si>
  <si>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</si>
  <si>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</si>
  <si>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</si>
  <si>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</si>
  <si>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</si>
  <si>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</si>
  <si>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</si>
  <si>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</si>
  <si>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</si>
  <si>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</si>
  <si>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</si>
  <si>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</si>
  <si>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</si>
  <si>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</si>
  <si>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</si>
  <si>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</si>
  <si>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</si>
  <si>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</si>
  <si>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</si>
  <si>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</si>
  <si>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</si>
  <si>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</si>
  <si>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</si>
  <si>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</si>
  <si>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</si>
  <si>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</si>
  <si>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</si>
  <si>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</si>
  <si>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</si>
  <si>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</si>
  <si>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</si>
  <si>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</si>
  <si>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</si>
  <si>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</si>
  <si>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</si>
  <si>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</si>
  <si>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</si>
  <si>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</si>
  <si>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</si>
  <si>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</si>
  <si>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</si>
  <si>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</si>
  <si>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</si>
  <si>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</si>
  <si>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</si>
  <si>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</si>
  <si>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</si>
  <si>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</si>
  <si>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</si>
  <si>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</si>
  <si>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</si>
  <si>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</si>
  <si>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</si>
  <si>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</si>
  <si>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</si>
  <si>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</si>
  <si>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</si>
  <si>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</si>
  <si>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</si>
  <si>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</si>
  <si>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</si>
  <si>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</si>
  <si>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</si>
  <si>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</si>
  <si>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</si>
  <si>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</si>
  <si>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</si>
  <si>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</si>
  <si>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</si>
  <si>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</si>
  <si>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</si>
  <si>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</si>
  <si>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</si>
  <si>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</si>
  <si>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</si>
  <si>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</si>
  <si>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</si>
  <si>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</si>
  <si>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</si>
  <si>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</si>
  <si>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</si>
  <si>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</si>
  <si>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</si>
  <si>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</si>
  <si>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</si>
  <si>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</si>
  <si>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</si>
  <si>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</si>
  <si>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</si>
  <si>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</si>
  <si>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</si>
  <si>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</si>
  <si>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</si>
  <si>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</si>
  <si>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</si>
  <si>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</si>
  <si>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</si>
  <si>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</si>
  <si>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</si>
  <si>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</si>
  <si>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</si>
  <si>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</si>
  <si>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</si>
  <si>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</si>
  <si>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</si>
  <si>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</si>
  <si>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</si>
  <si>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</si>
  <si>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</si>
  <si>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</si>
  <si>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</si>
  <si>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</si>
  <si>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</si>
  <si>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</si>
  <si>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</si>
  <si>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</si>
  <si>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</si>
  <si>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</si>
  <si>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</si>
  <si>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</si>
  <si>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</si>
  <si>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</si>
  <si>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</si>
  <si>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</si>
  <si>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</si>
  <si>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</si>
  <si>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</si>
  <si>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</si>
  <si>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</si>
  <si>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</si>
  <si>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</si>
  <si>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</si>
  <si>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</si>
  <si>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</si>
  <si>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</si>
  <si>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</si>
  <si>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</si>
  <si>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</si>
  <si>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</si>
  <si>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</si>
  <si>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</si>
  <si>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</si>
  <si>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</si>
  <si>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</si>
  <si>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</si>
  <si>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</si>
  <si>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</si>
  <si>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</si>
  <si>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</si>
  <si>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</si>
  <si>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</si>
  <si>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</si>
  <si>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</si>
  <si>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</si>
  <si>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</si>
  <si>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</si>
  <si>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</si>
  <si>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</si>
  <si>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</si>
  <si>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</si>
  <si>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</si>
  <si>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</si>
  <si>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</si>
  <si>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</si>
  <si>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</si>
  <si>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</si>
  <si>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</si>
  <si>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</si>
  <si>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</si>
  <si>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</si>
  <si>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</si>
  <si>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</si>
  <si>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</si>
  <si>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</si>
  <si>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</si>
  <si>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</si>
  <si>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</si>
  <si>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</si>
  <si>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</si>
  <si>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</si>
  <si>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</si>
  <si>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</si>
  <si>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</si>
  <si>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</si>
  <si>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</si>
  <si>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</si>
  <si>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</si>
  <si>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</si>
  <si>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</si>
  <si>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</si>
  <si>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</si>
  <si>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</si>
  <si>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</si>
  <si>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</si>
  <si>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</si>
  <si>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</si>
  <si>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</si>
  <si>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</si>
  <si>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</si>
  <si>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</si>
  <si>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</si>
  <si>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</si>
  <si>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</si>
  <si>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</si>
  <si>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</si>
  <si>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</si>
  <si>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</si>
  <si>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</si>
  <si>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</si>
  <si>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</si>
  <si>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</si>
  <si>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</si>
  <si>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</si>
  <si>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</si>
  <si>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</si>
  <si>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</si>
  <si>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</si>
  <si>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</si>
  <si>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</si>
  <si>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</si>
  <si>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</si>
  <si>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</si>
  <si>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</si>
  <si>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</si>
  <si>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</si>
  <si>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</si>
  <si>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</si>
  <si>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</si>
  <si>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</si>
  <si>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</si>
  <si>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</si>
  <si>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</si>
  <si>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</si>
  <si>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</si>
  <si>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</si>
  <si>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</si>
  <si>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</si>
  <si>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</si>
  <si>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</si>
  <si>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</si>
  <si>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</si>
  <si>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</si>
  <si>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</si>
  <si>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</si>
  <si>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</si>
  <si>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</si>
  <si>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</si>
  <si>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</si>
  <si>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</si>
  <si>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</si>
  <si>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</si>
  <si>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</si>
  <si>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</si>
  <si>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</si>
  <si>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</si>
  <si>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</si>
  <si>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</si>
  <si>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</si>
  <si>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</si>
  <si>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</si>
  <si>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</si>
  <si>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</si>
  <si>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</si>
  <si>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</si>
  <si>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</si>
  <si>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</si>
  <si>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</si>
  <si>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</si>
  <si>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</si>
  <si>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</si>
  <si>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</si>
  <si>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</si>
  <si>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</si>
  <si>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</si>
  <si>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</si>
  <si>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</si>
  <si>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</si>
  <si>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</si>
  <si>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</si>
  <si>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</si>
  <si>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</si>
  <si>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</si>
  <si>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</si>
  <si>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</si>
  <si>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</si>
  <si>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</si>
  <si>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</si>
  <si>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</si>
  <si>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</si>
  <si>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</si>
  <si>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</si>
  <si>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</si>
  <si>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</si>
  <si>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</si>
  <si>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</si>
  <si>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</si>
  <si>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</si>
  <si>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</si>
  <si>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</si>
  <si>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</si>
  <si>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</si>
  <si>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</si>
  <si>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</si>
  <si>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</si>
  <si>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</si>
  <si>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</si>
  <si>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</si>
  <si>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</si>
  <si>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</si>
  <si>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</si>
  <si>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</si>
  <si>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</si>
  <si>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</si>
  <si>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</si>
  <si>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</si>
  <si>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</si>
  <si>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</si>
  <si>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</si>
  <si>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</si>
  <si>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</si>
  <si>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</si>
  <si>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</si>
  <si>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</si>
  <si>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</si>
  <si>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</si>
  <si>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</si>
  <si>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</si>
  <si>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</si>
  <si>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</si>
  <si>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</si>
  <si>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</si>
  <si>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</si>
  <si>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</si>
  <si>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</si>
  <si>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</si>
  <si>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</si>
  <si>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</si>
  <si>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</si>
  <si>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</si>
  <si>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</si>
  <si>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</si>
  <si>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</si>
  <si>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</si>
  <si>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</si>
  <si>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</si>
  <si>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</si>
  <si>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</si>
  <si>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</si>
  <si>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</si>
  <si>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</si>
  <si>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</si>
  <si>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</si>
  <si>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</si>
  <si>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</si>
  <si>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</si>
  <si>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</si>
  <si>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</si>
  <si>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</si>
  <si>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</si>
  <si>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</si>
  <si>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</si>
  <si>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</si>
  <si>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</si>
  <si>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</si>
  <si>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</si>
  <si>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</si>
  <si>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</si>
  <si>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</si>
  <si>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</si>
  <si>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</si>
  <si>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</si>
  <si>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</si>
  <si>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</si>
  <si>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</si>
  <si>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</si>
  <si>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</si>
  <si>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</si>
  <si>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</si>
  <si>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</si>
  <si>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</si>
  <si>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</si>
  <si>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</si>
  <si>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</si>
  <si>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</si>
  <si>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</si>
  <si>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</si>
  <si>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</si>
  <si>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</si>
  <si>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</si>
  <si>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</si>
  <si>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</si>
  <si>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</si>
  <si>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</si>
  <si>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</si>
  <si>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</si>
  <si>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</si>
  <si>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</si>
  <si>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</si>
  <si>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</si>
  <si>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</si>
  <si>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</si>
  <si>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</si>
  <si>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</si>
  <si>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</si>
  <si>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</si>
  <si>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</si>
  <si>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</si>
  <si>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</si>
  <si>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</si>
  <si>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</si>
  <si>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</si>
  <si>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</si>
  <si>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</si>
  <si>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</si>
  <si>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</si>
  <si>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</si>
  <si>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</si>
  <si>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</si>
  <si>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</si>
  <si>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</si>
  <si>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</si>
  <si>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</si>
  <si>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</si>
  <si>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</si>
  <si>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</si>
  <si>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</si>
  <si>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</si>
  <si>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</si>
  <si>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</si>
  <si>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</si>
  <si>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</si>
  <si>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</si>
  <si>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</si>
  <si>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</si>
  <si>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</si>
  <si>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</si>
  <si>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</si>
  <si>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</si>
  <si>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</si>
  <si>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</si>
  <si>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</si>
  <si>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</si>
  <si>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</si>
  <si>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</si>
  <si>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</si>
  <si>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</si>
  <si>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</si>
  <si>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</si>
  <si>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</si>
  <si>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</si>
  <si>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</si>
  <si>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</si>
  <si>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</si>
  <si>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</si>
  <si>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</si>
  <si>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</si>
  <si>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</si>
  <si>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</si>
  <si>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</si>
  <si>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</si>
  <si>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</si>
  <si>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</si>
  <si>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</si>
  <si>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</si>
  <si>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</si>
  <si>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</si>
  <si>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</si>
  <si>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</si>
  <si>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</si>
  <si>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</si>
  <si>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</si>
  <si>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</si>
  <si>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</si>
  <si>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</si>
  <si>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</si>
  <si>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</si>
  <si>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</si>
  <si>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</si>
  <si>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</si>
  <si>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</si>
  <si>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</si>
  <si>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</si>
  <si>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</si>
  <si>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</si>
  <si>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</si>
  <si>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</si>
  <si>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</si>
  <si>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</si>
  <si>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</si>
  <si>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</si>
  <si>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</si>
  <si>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</si>
  <si>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</si>
  <si>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</si>
  <si>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</si>
  <si>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</si>
  <si>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</si>
  <si>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</si>
  <si>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</si>
  <si>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</si>
  <si>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</si>
  <si>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</si>
  <si>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</si>
  <si>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</si>
  <si>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</si>
  <si>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</si>
  <si>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</si>
  <si>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</si>
  <si>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</si>
  <si>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</si>
  <si>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</si>
  <si>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</si>
  <si>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</si>
  <si>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</si>
  <si>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</si>
  <si>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</si>
  <si>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</si>
  <si>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</si>
  <si>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</si>
  <si>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</si>
  <si>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</si>
  <si>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</si>
  <si>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</si>
  <si>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</si>
  <si>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</si>
  <si>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</si>
  <si>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</si>
  <si>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</si>
  <si>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</si>
  <si>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</si>
  <si>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</si>
  <si>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</si>
  <si>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</si>
  <si>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</si>
  <si>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</si>
  <si>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</si>
  <si>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</si>
  <si>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</si>
  <si>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</si>
  <si>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</si>
  <si>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</si>
  <si>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</si>
  <si>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</si>
  <si>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</si>
  <si>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</si>
  <si>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</si>
  <si>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</si>
  <si>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</si>
  <si>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</si>
  <si>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</si>
  <si>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</si>
  <si>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</si>
  <si>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</si>
  <si>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</si>
  <si>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</si>
  <si>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</si>
  <si>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</si>
  <si>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</si>
  <si>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</si>
  <si>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</si>
  <si>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</si>
  <si>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</si>
  <si>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</si>
  <si>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</si>
  <si>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</si>
  <si>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</si>
  <si>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</si>
  <si>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</si>
  <si>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</si>
  <si>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</si>
  <si>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</si>
  <si>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</si>
  <si>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</si>
  <si>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</si>
  <si>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</si>
  <si>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</si>
  <si>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</si>
  <si>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</si>
  <si>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</si>
  <si>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</si>
  <si>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</si>
  <si>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</si>
  <si>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</si>
  <si>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</si>
  <si>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</si>
  <si>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</si>
  <si>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</si>
  <si>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</si>
  <si>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</si>
  <si>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</si>
  <si>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</si>
  <si>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</si>
  <si>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</si>
  <si>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</si>
  <si>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</si>
  <si>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</si>
  <si>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</si>
  <si>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</si>
  <si>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</si>
  <si>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</si>
  <si>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</si>
  <si>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</si>
  <si>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</si>
  <si>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</si>
  <si>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</si>
  <si>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</si>
  <si>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</si>
  <si>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</si>
  <si>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</si>
  <si>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</si>
  <si>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</si>
  <si>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</si>
  <si>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</si>
  <si>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</si>
  <si>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</si>
  <si>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</si>
  <si>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</si>
  <si>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</si>
  <si>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</si>
  <si>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</si>
  <si>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</si>
  <si>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</si>
  <si>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</si>
  <si>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</si>
  <si>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</si>
  <si>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</si>
  <si>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</si>
  <si>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</si>
  <si>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</si>
  <si>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</si>
  <si>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</si>
  <si>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</si>
  <si>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</si>
  <si>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</si>
  <si>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</si>
  <si>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</si>
  <si>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</si>
  <si>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</si>
  <si>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</si>
  <si>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</si>
  <si>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</si>
  <si>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</si>
  <si>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</si>
  <si>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</si>
  <si>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</si>
  <si>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</si>
  <si>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</si>
  <si>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</si>
  <si>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</si>
  <si>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</si>
  <si>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</si>
  <si>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</si>
  <si>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</si>
  <si>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</si>
  <si>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</si>
  <si>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</si>
  <si>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</si>
  <si>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</si>
  <si>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</si>
  <si>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</si>
  <si>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</si>
  <si>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</si>
  <si>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</si>
  <si>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</si>
  <si>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</si>
  <si>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</si>
  <si>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</si>
  <si>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</si>
  <si>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</si>
  <si>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</si>
  <si>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</si>
  <si>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</si>
  <si>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</si>
  <si>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</si>
  <si>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</si>
  <si>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</si>
  <si>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</si>
  <si>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</si>
  <si>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</si>
  <si>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</si>
  <si>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</si>
  <si>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</si>
  <si>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</si>
  <si>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</si>
  <si>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</si>
  <si>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</si>
  <si>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</si>
  <si>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</si>
  <si>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</si>
  <si>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</si>
  <si>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</si>
  <si>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</si>
  <si>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</si>
  <si>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</si>
  <si>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</si>
  <si>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</si>
  <si>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</si>
  <si>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</si>
  <si>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</si>
  <si>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</si>
  <si>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</si>
  <si>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</si>
  <si>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</si>
  <si>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</si>
  <si>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</si>
  <si>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</si>
  <si>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</si>
  <si>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</si>
  <si>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</si>
  <si>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</si>
  <si>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</si>
  <si>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</si>
  <si>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</si>
  <si>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</si>
  <si>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</si>
  <si>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</si>
  <si>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</si>
  <si>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</si>
  <si>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</si>
  <si>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</si>
  <si>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</si>
  <si>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</si>
  <si>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</si>
  <si>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</si>
  <si>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</si>
  <si>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</si>
  <si>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</si>
  <si>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</si>
  <si>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</si>
  <si>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</si>
  <si>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</si>
  <si>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</si>
  <si>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</si>
  <si>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</si>
  <si>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</si>
  <si>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</si>
  <si>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</si>
  <si>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</si>
  <si>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</si>
  <si>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</si>
  <si>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</si>
  <si>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</si>
  <si>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</si>
  <si>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</si>
  <si>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</si>
  <si>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</si>
  <si>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</si>
  <si>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</si>
  <si>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</si>
  <si>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</si>
  <si>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</si>
  <si>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</si>
  <si>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</si>
  <si>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</si>
  <si>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</si>
  <si>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</si>
  <si>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</si>
  <si>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</si>
  <si>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</si>
  <si>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</si>
  <si>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</si>
  <si>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</si>
  <si>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</si>
  <si>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</si>
  <si>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</si>
  <si>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</si>
  <si>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</si>
  <si>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</si>
  <si>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</si>
  <si>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</si>
  <si>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</si>
  <si>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</si>
  <si>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</si>
  <si>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</si>
  <si>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</si>
  <si>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</si>
  <si>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</si>
  <si>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</si>
  <si>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</si>
  <si>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</si>
  <si>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</si>
  <si>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</si>
  <si>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</si>
  <si>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</si>
  <si>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</si>
  <si>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</si>
  <si>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</si>
  <si>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</si>
  <si>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</si>
  <si>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</si>
  <si>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</si>
  <si>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</si>
  <si>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</si>
  <si>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</si>
  <si>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</si>
  <si>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</si>
  <si>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</si>
  <si>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</si>
  <si>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</si>
  <si>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</si>
  <si>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</si>
  <si>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</si>
  <si>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</si>
  <si>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</si>
  <si>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</si>
  <si>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</si>
  <si>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</si>
  <si>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</si>
  <si>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</si>
  <si>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</si>
  <si>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</si>
  <si>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</si>
  <si>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</si>
  <si>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</si>
  <si>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</si>
  <si>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</si>
  <si>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</si>
  <si>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</si>
  <si>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</si>
  <si>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</si>
  <si>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</si>
  <si>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</si>
  <si>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</si>
  <si>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</si>
  <si>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</si>
  <si>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</si>
  <si>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</si>
  <si>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</si>
  <si>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</si>
  <si>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</si>
  <si>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</si>
  <si>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</si>
  <si>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</si>
  <si>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</si>
  <si>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</si>
  <si>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</si>
  <si>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</si>
  <si>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</si>
  <si>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</si>
  <si>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</si>
  <si>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</si>
  <si>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</si>
  <si>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</si>
  <si>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</si>
  <si>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</si>
  <si>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</si>
  <si>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</si>
  <si>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</si>
  <si>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</si>
  <si>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</si>
  <si>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</si>
  <si>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</si>
  <si>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</si>
  <si>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</si>
  <si>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</si>
  <si>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</si>
  <si>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</si>
  <si>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</si>
  <si>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</si>
  <si>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</si>
  <si>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</si>
  <si>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</si>
  <si>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</si>
  <si>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</si>
  <si>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</si>
  <si>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</si>
  <si>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</si>
  <si>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</si>
  <si>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</si>
  <si>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</si>
  <si>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</si>
  <si>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</si>
  <si>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</si>
  <si>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</si>
  <si>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</si>
  <si>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</si>
  <si>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</si>
  <si>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</si>
  <si>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</si>
  <si>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</si>
  <si>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</si>
  <si>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</si>
  <si>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</si>
  <si>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</si>
  <si>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</si>
  <si>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</si>
  <si>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</si>
  <si>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</si>
  <si>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</si>
  <si>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</si>
  <si>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</si>
  <si>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</si>
  <si>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</si>
  <si>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</si>
  <si>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</si>
  <si>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</si>
  <si>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</si>
  <si>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</si>
  <si>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</si>
  <si>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</si>
  <si>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</si>
  <si>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</si>
  <si>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</si>
  <si>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</si>
  <si>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</si>
  <si>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</si>
  <si>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</si>
  <si>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</si>
  <si>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</si>
  <si>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</si>
  <si>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</si>
  <si>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</si>
  <si>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</si>
  <si>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</si>
  <si>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</si>
  <si>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</si>
  <si>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</si>
  <si>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</si>
  <si>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</si>
  <si>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</si>
  <si>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</si>
  <si>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</si>
  <si>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</si>
  <si>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</si>
  <si>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</si>
  <si>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</si>
  <si>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</si>
  <si>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</si>
  <si>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</si>
  <si>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</si>
  <si>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</si>
  <si>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</si>
  <si>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</si>
  <si>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</si>
  <si>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</si>
  <si>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</si>
  <si>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</si>
  <si>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</si>
  <si>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</si>
  <si>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</si>
  <si>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</si>
  <si>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</si>
  <si>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</si>
  <si>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</si>
  <si>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</si>
  <si>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</si>
  <si>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</si>
  <si>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</si>
  <si>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</si>
  <si>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</si>
  <si>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</si>
  <si>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</si>
  <si>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</si>
  <si>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</si>
  <si>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</si>
  <si>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</si>
  <si>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</si>
  <si>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</si>
  <si>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</si>
  <si>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</si>
  <si>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</si>
  <si>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</si>
  <si>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</si>
  <si>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</si>
  <si>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</si>
  <si>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</si>
  <si>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</si>
  <si>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</si>
  <si>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</si>
  <si>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</si>
  <si>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</si>
  <si>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</si>
  <si>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</si>
  <si>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</si>
  <si>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</si>
  <si>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</si>
  <si>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</si>
  <si>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</si>
  <si>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</si>
  <si>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</si>
  <si>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</si>
  <si>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</si>
  <si>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</si>
  <si>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</si>
  <si>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</si>
  <si>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</si>
  <si>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</si>
  <si>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</si>
  <si>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</si>
  <si>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</si>
  <si>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</si>
  <si>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</si>
  <si>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</si>
  <si>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</si>
  <si>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</si>
  <si>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</si>
  <si>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</si>
  <si>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</si>
  <si>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</si>
  <si>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</si>
  <si>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</si>
  <si>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</si>
  <si>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</si>
  <si>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</si>
  <si>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</si>
  <si>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</si>
  <si>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</si>
  <si>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</si>
  <si>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</si>
  <si>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</si>
  <si>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</si>
  <si>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</si>
  <si>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</si>
  <si>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</si>
  <si>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</si>
  <si>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</si>
  <si>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</si>
  <si>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</si>
  <si>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</si>
  <si>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</si>
  <si>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</si>
  <si>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</si>
  <si>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</si>
  <si>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</si>
  <si>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</si>
  <si>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</si>
  <si>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</si>
  <si>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</si>
  <si>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</si>
  <si>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</si>
  <si>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</si>
  <si>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</si>
  <si>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</si>
  <si>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</si>
  <si>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</si>
  <si>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</si>
  <si>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</si>
  <si>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</si>
  <si>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</si>
  <si>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</si>
  <si>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</si>
  <si>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</si>
  <si>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</si>
  <si>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</si>
  <si>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</si>
  <si>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</si>
  <si>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</si>
  <si>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</si>
  <si>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</si>
  <si>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</si>
  <si>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</si>
  <si>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</si>
  <si>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</si>
  <si>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</si>
  <si>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</si>
  <si>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</si>
  <si>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</si>
  <si>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</si>
  <si>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</si>
  <si>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</si>
  <si>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</si>
  <si>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</si>
  <si>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</si>
  <si>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</si>
  <si>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</si>
  <si>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</si>
  <si>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</si>
  <si>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</si>
  <si>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</si>
  <si>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</si>
  <si>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</si>
  <si>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</si>
  <si>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</si>
  <si>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</si>
  <si>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</si>
  <si>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</si>
  <si>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</si>
  <si>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</si>
  <si>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</si>
  <si>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</si>
  <si>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</si>
  <si>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</si>
  <si>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</si>
  <si>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</si>
  <si>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</si>
  <si>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</si>
  <si>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</si>
  <si>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</si>
  <si>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</si>
  <si>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</si>
  <si>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</si>
  <si>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</si>
  <si>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</si>
  <si>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</si>
  <si>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</si>
  <si>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</si>
  <si>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</si>
  <si>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</si>
  <si>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</si>
  <si>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</si>
  <si>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</si>
  <si>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</si>
  <si>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</si>
  <si>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</si>
  <si>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</si>
  <si>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</si>
  <si>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</si>
  <si>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</si>
  <si>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</si>
  <si>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</si>
  <si>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</si>
  <si>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</si>
  <si>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</si>
  <si>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</si>
  <si>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</si>
  <si>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</si>
  <si>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</si>
  <si>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</si>
  <si>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</si>
  <si>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</si>
  <si>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</si>
  <si>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</si>
  <si>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</si>
  <si>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</si>
  <si>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</si>
  <si>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</si>
  <si>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</si>
  <si>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</si>
  <si>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</si>
  <si>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</si>
  <si>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</si>
  <si>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</si>
  <si>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</si>
  <si>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</si>
  <si>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</si>
  <si>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</si>
  <si>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</si>
  <si>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</si>
  <si>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</si>
  <si>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</si>
  <si>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</si>
  <si>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</si>
  <si>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</si>
  <si>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</si>
  <si>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</si>
  <si>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</si>
  <si>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</si>
  <si>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</si>
  <si>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</si>
  <si>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</si>
  <si>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</si>
  <si>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</si>
  <si>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</si>
  <si>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</si>
  <si>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</si>
  <si>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</si>
  <si>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</si>
  <si>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</si>
  <si>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</si>
  <si>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</si>
  <si>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</si>
  <si>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</si>
  <si>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</si>
  <si>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</si>
  <si>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</si>
  <si>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</si>
  <si>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</si>
  <si>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</si>
  <si>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</si>
  <si>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</si>
  <si>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</si>
  <si>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</si>
  <si>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</si>
  <si>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</si>
  <si>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</si>
  <si>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</si>
  <si>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</si>
  <si>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</si>
  <si>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</si>
  <si>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</si>
  <si>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</si>
  <si>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</si>
  <si>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</si>
  <si>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</si>
  <si>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</si>
  <si>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</si>
  <si>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</si>
  <si>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</si>
  <si>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</si>
  <si>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</si>
  <si>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</si>
  <si>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</si>
  <si>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</si>
  <si>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</si>
  <si>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</si>
  <si>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</si>
  <si>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</si>
  <si>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</si>
  <si>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</si>
  <si>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</si>
  <si>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</si>
  <si>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</si>
  <si>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</si>
  <si>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</si>
  <si>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</si>
  <si>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</si>
  <si>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</si>
  <si>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</si>
  <si>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</si>
  <si>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</si>
  <si>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</si>
  <si>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</si>
  <si>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</si>
  <si>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</si>
  <si>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</si>
  <si>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</si>
  <si>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</si>
  <si>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</si>
  <si>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</si>
  <si>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</si>
  <si>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</si>
  <si>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</si>
  <si>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</si>
  <si>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</si>
  <si>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</si>
  <si>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</si>
  <si>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</si>
  <si>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</si>
  <si>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</si>
  <si>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</si>
  <si>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</si>
  <si>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</si>
  <si>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</si>
  <si>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</si>
  <si>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</si>
  <si>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</si>
  <si>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</si>
  <si>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</si>
  <si>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</si>
  <si>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</si>
  <si>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</si>
  <si>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</si>
  <si>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</si>
  <si>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</si>
  <si>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</si>
  <si>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</si>
  <si>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</si>
  <si>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</si>
  <si>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</si>
  <si>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</si>
  <si>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</si>
  <si>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</si>
  <si>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</si>
  <si>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</si>
  <si>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</si>
  <si>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</si>
  <si>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</si>
  <si>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</si>
  <si>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</si>
  <si>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</si>
  <si>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</si>
  <si>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</si>
  <si>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</si>
  <si>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</si>
  <si>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</si>
  <si>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</si>
  <si>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</si>
  <si>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</si>
  <si>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</si>
  <si>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</si>
  <si>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</si>
  <si>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</si>
  <si>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</si>
  <si>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</si>
  <si>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</si>
  <si>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</si>
  <si>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</si>
  <si>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</si>
  <si>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</si>
  <si>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</si>
  <si>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</si>
  <si>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</si>
  <si>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</si>
  <si>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</si>
  <si>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</si>
  <si>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</si>
  <si>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</si>
  <si>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</si>
  <si>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</si>
  <si>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</si>
  <si>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</si>
  <si>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</si>
  <si>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</si>
  <si>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</si>
  <si>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</si>
  <si>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</si>
  <si>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</si>
  <si>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</si>
  <si>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</si>
  <si>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</si>
  <si>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</si>
  <si>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</si>
  <si>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</si>
  <si>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</si>
  <si>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</si>
  <si>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</si>
  <si>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</si>
  <si>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</si>
  <si>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</si>
  <si>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</si>
  <si>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</si>
  <si>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</si>
  <si>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</si>
  <si>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</si>
  <si>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</si>
  <si>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</si>
  <si>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</si>
  <si>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</si>
  <si>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</si>
  <si>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</si>
  <si>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</si>
  <si>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</si>
  <si>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</si>
  <si>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</si>
  <si>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</si>
  <si>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</si>
  <si>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</si>
  <si>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</si>
  <si>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</si>
  <si>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</si>
  <si>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</si>
  <si>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</si>
  <si>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</si>
  <si>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</si>
  <si>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</si>
  <si>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</si>
  <si>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</si>
  <si>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</si>
  <si>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</si>
  <si>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</si>
  <si>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</si>
  <si>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</si>
  <si>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</si>
  <si>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</si>
  <si>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</si>
  <si>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</si>
  <si>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</si>
  <si>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</si>
  <si>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</si>
  <si>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</si>
  <si>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</si>
  <si>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</si>
  <si>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</si>
  <si>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</si>
  <si>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</si>
  <si>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</si>
  <si>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</si>
  <si>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</si>
  <si>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</si>
  <si>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</si>
  <si>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</si>
  <si>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</si>
  <si>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</si>
  <si>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</si>
  <si>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</si>
  <si>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</si>
  <si>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</si>
  <si>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</si>
  <si>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</si>
  <si>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</si>
  <si>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</si>
  <si>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</si>
  <si>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</si>
  <si>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</si>
  <si>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</si>
  <si>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</si>
  <si>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</si>
  <si>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</si>
  <si>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</si>
  <si>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</si>
  <si>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</si>
  <si>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</si>
  <si>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</si>
  <si>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</si>
  <si>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</si>
  <si>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</si>
  <si>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</si>
  <si>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</si>
  <si>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</si>
  <si>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</si>
  <si>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</si>
  <si>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</si>
  <si>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</si>
  <si>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</si>
  <si>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</si>
  <si>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</si>
  <si>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</si>
  <si>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</si>
  <si>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</si>
  <si>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</si>
  <si>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</si>
  <si>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</si>
  <si>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</si>
  <si>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</si>
  <si>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</si>
  <si>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</si>
  <si>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</si>
  <si>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</si>
  <si>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</si>
  <si>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</si>
  <si>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</si>
  <si>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</si>
  <si>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</si>
  <si>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</si>
  <si>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</si>
  <si>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</si>
  <si>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</si>
  <si>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</si>
  <si>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</si>
  <si>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</si>
  <si>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</si>
  <si>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</si>
  <si>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</si>
  <si>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</si>
  <si>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</si>
  <si>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</si>
  <si>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</si>
  <si>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</si>
  <si>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</si>
  <si>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</si>
  <si>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</si>
  <si>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</si>
  <si>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</si>
  <si>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</si>
  <si>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</si>
  <si>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</si>
  <si>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</si>
  <si>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</si>
  <si>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</si>
  <si>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</si>
  <si>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</si>
  <si>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</si>
  <si>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</si>
  <si>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</si>
  <si>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</si>
  <si>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</si>
  <si>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</si>
  <si>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</si>
  <si>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</si>
  <si>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</si>
  <si>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</si>
  <si>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</si>
  <si>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</si>
  <si>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</si>
  <si>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</si>
  <si>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</si>
  <si>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</si>
  <si>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</si>
  <si>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</si>
  <si>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</si>
  <si>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</si>
  <si>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</si>
  <si>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</si>
  <si>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</si>
  <si>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</si>
  <si>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</si>
  <si>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</si>
  <si>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</si>
  <si>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</si>
  <si>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</si>
  <si>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</si>
  <si>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</si>
  <si>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</si>
  <si>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</si>
  <si>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</si>
  <si>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</si>
  <si>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</si>
  <si>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</si>
  <si>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</si>
  <si>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</si>
  <si>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</si>
  <si>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</si>
  <si>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</si>
  <si>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</si>
  <si>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</si>
  <si>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</si>
  <si>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</si>
  <si>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</si>
  <si>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</si>
  <si>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</si>
  <si>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</si>
  <si>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</si>
  <si>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</si>
  <si>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</si>
  <si>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</si>
  <si>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</si>
  <si>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</si>
  <si>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</si>
  <si>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</si>
  <si>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</si>
  <si>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</si>
  <si>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</si>
  <si>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</si>
  <si>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</si>
  <si>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</si>
  <si>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</si>
  <si>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</si>
  <si>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</si>
  <si>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</si>
  <si>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</si>
  <si>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</si>
  <si>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</si>
  <si>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</si>
  <si>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</si>
  <si>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</si>
  <si>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</si>
  <si>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</si>
  <si>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</si>
  <si>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</si>
  <si>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</si>
  <si>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</si>
  <si>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</si>
  <si>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</si>
  <si>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</si>
  <si>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</si>
  <si>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</si>
  <si>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</si>
  <si>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</si>
  <si>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</si>
  <si>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</si>
  <si>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</si>
  <si>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</si>
  <si>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</si>
  <si>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</si>
  <si>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</si>
  <si>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</si>
  <si>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</si>
  <si>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</si>
  <si>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</si>
  <si>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</si>
  <si>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</si>
  <si>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</si>
  <si>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</si>
  <si>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</si>
  <si>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</si>
  <si>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</si>
  <si>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</si>
  <si>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</si>
  <si>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</si>
  <si>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</si>
  <si>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</si>
  <si>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</si>
  <si>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</si>
  <si>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</si>
  <si>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</si>
  <si>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</si>
  <si>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</si>
  <si>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</si>
  <si>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</si>
  <si>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</si>
  <si>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</si>
  <si>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</si>
  <si>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</si>
  <si>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</si>
  <si>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</si>
  <si>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</si>
  <si>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</si>
  <si>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</si>
  <si>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</si>
  <si>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</si>
  <si>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</si>
  <si>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</si>
  <si>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</si>
  <si>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</si>
  <si>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</si>
  <si>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</si>
  <si>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</si>
  <si>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</si>
  <si>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</si>
  <si>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</si>
  <si>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</si>
  <si>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</si>
  <si>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</si>
  <si>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</si>
  <si>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</si>
  <si>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</si>
  <si>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</si>
  <si>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</si>
  <si>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</si>
  <si>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</si>
  <si>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</si>
  <si>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</si>
  <si>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</si>
  <si>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</si>
  <si>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</si>
  <si>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</si>
  <si>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</si>
  <si>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</si>
  <si>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</si>
  <si>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</si>
  <si>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</si>
  <si>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</si>
  <si>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</si>
  <si>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</si>
  <si>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</si>
  <si>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</si>
  <si>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</si>
  <si>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</si>
  <si>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</si>
  <si>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</si>
  <si>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</si>
  <si>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</si>
  <si>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</si>
  <si>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</si>
  <si>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</si>
  <si>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</si>
  <si>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</si>
  <si>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</si>
  <si>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</si>
  <si>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</si>
  <si>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</si>
  <si>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</si>
  <si>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</si>
  <si>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</si>
  <si>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</si>
  <si>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</si>
  <si>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</si>
  <si>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</si>
  <si>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</si>
  <si>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</si>
  <si>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</si>
  <si>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</si>
  <si>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</si>
  <si>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</si>
  <si>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</si>
  <si>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</si>
  <si>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</si>
  <si>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</si>
  <si>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</si>
  <si>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</si>
  <si>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</si>
  <si>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</si>
  <si>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</si>
  <si>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</si>
  <si>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</si>
  <si>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</si>
  <si>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</si>
  <si>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</si>
  <si>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</si>
  <si>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</si>
  <si>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</si>
  <si>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</si>
  <si>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</si>
  <si>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</si>
  <si>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</si>
  <si>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</si>
  <si>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</si>
  <si>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</si>
  <si>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</si>
  <si>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</si>
  <si>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</si>
  <si>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</si>
  <si>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</si>
  <si>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</si>
  <si>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</si>
  <si>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</si>
  <si>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</si>
  <si>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</si>
  <si>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</si>
  <si>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</si>
  <si>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</si>
  <si>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</si>
  <si>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</si>
  <si>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</si>
  <si>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</si>
  <si>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</si>
  <si>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</si>
  <si>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</si>
  <si>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</si>
  <si>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</si>
  <si>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</si>
  <si>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</si>
  <si>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</si>
  <si>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</si>
  <si>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</si>
  <si>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</si>
  <si>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</si>
  <si>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</si>
  <si>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</si>
  <si>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</si>
  <si>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</si>
  <si>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</si>
  <si>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</si>
  <si>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</si>
  <si>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</si>
  <si>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</si>
  <si>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</si>
  <si>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</si>
  <si>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</si>
  <si>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</si>
  <si>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</si>
  <si>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</si>
  <si>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</si>
  <si>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</si>
  <si>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</si>
  <si>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</si>
  <si>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</si>
  <si>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</si>
  <si>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</si>
  <si>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</si>
  <si>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</si>
  <si>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</si>
  <si>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</si>
  <si>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</si>
  <si>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</si>
  <si>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</si>
  <si>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</si>
  <si>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</si>
  <si>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</si>
  <si>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</si>
  <si>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</si>
  <si>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</si>
  <si>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</si>
  <si>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</si>
  <si>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</si>
  <si>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</si>
  <si>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</si>
  <si>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</si>
  <si>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</si>
  <si>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</si>
  <si>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</si>
  <si>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</si>
  <si>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</si>
  <si>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</si>
  <si>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</si>
  <si>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</si>
  <si>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</si>
  <si>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</si>
  <si>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</si>
  <si>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</si>
  <si>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</si>
  <si>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</si>
  <si>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</si>
  <si>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</si>
  <si>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</si>
  <si>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</si>
  <si>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</si>
  <si>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</si>
  <si>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</si>
  <si>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</si>
  <si>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</si>
  <si>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</si>
  <si>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</si>
  <si>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</si>
  <si>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</si>
  <si>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</si>
  <si>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</si>
  <si>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</si>
  <si>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</si>
  <si>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</si>
  <si>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</si>
  <si>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</si>
  <si>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</si>
  <si>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</si>
  <si>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</si>
  <si>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</si>
  <si>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</si>
  <si>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</si>
  <si>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</si>
  <si>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</si>
  <si>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</si>
  <si>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</si>
  <si>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</si>
  <si>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</si>
  <si>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</si>
  <si>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</si>
  <si>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</si>
  <si>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</si>
  <si>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</si>
  <si>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</si>
  <si>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</si>
  <si>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</si>
  <si>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</si>
  <si>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</si>
  <si>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</si>
  <si>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</si>
  <si>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</si>
  <si>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</si>
  <si>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</si>
  <si>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</si>
  <si>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</si>
  <si>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</si>
  <si>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</si>
  <si>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</si>
  <si>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</si>
  <si>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</si>
  <si>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</si>
  <si>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</si>
  <si>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</si>
  <si>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</si>
  <si>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</si>
  <si>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</si>
  <si>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</si>
  <si>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</si>
  <si>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</si>
  <si>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</si>
  <si>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</si>
  <si>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</si>
  <si>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</si>
  <si>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</si>
  <si>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</si>
  <si>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</si>
  <si>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</si>
  <si>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</si>
  <si>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</si>
  <si>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</si>
  <si>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</si>
  <si>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</si>
  <si>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</si>
  <si>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</si>
  <si>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</si>
  <si>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</si>
  <si>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</si>
  <si>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</si>
  <si>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</si>
  <si>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</si>
  <si>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</si>
  <si>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</si>
  <si>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</si>
  <si>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</si>
  <si>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</si>
  <si>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</si>
  <si>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</si>
  <si>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</si>
  <si>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</si>
  <si>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</si>
  <si>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</si>
  <si>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</si>
  <si>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</si>
  <si>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</si>
  <si>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</si>
  <si>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</si>
  <si>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</si>
  <si>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</si>
  <si>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</si>
  <si>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</si>
  <si>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</si>
  <si>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</si>
  <si>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</si>
  <si>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</si>
  <si>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</si>
  <si>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</si>
  <si>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</si>
  <si>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</si>
  <si>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</si>
  <si>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</si>
  <si>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</si>
  <si>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</si>
  <si>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</si>
  <si>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</si>
  <si>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</si>
  <si>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</si>
  <si>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</si>
  <si>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</si>
  <si>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</si>
  <si>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</si>
  <si>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</si>
  <si>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</si>
  <si>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</si>
  <si>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</si>
  <si>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</si>
  <si>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</si>
  <si>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</si>
  <si>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</si>
  <si>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</si>
  <si>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</si>
  <si>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</si>
  <si>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</si>
  <si>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</si>
  <si>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</si>
  <si>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</si>
  <si>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</si>
  <si>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</si>
  <si>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</si>
  <si>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</si>
  <si>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</si>
  <si>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</si>
  <si>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</si>
  <si>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</si>
  <si>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</si>
  <si>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</si>
  <si>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</si>
  <si>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</si>
  <si>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</si>
  <si>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</si>
  <si>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</si>
  <si>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</si>
  <si>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</si>
  <si>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</si>
  <si>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</si>
  <si>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</si>
  <si>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</si>
  <si>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</si>
  <si>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</si>
  <si>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</si>
  <si>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</si>
  <si>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</si>
  <si>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</si>
  <si>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</si>
  <si>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</si>
  <si>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</si>
  <si>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</si>
  <si>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</si>
  <si>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</si>
  <si>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</si>
  <si>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</si>
  <si>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</si>
  <si>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</si>
  <si>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</si>
  <si>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</si>
  <si>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</si>
  <si>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</si>
  <si>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</si>
  <si>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</si>
  <si>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</si>
  <si>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</si>
  <si>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</si>
  <si>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</si>
  <si>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</si>
  <si>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</si>
  <si>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</si>
  <si>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</si>
  <si>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</si>
  <si>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</si>
  <si>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</si>
  <si>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</si>
  <si>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</si>
  <si>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</si>
  <si>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</si>
  <si>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</si>
  <si>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</si>
  <si>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</si>
  <si>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</si>
  <si>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</si>
  <si>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</si>
  <si>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</si>
  <si>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</si>
  <si>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</si>
  <si>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</si>
  <si>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</si>
  <si>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</si>
  <si>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</si>
  <si>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</si>
  <si>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</si>
  <si>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</si>
  <si>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</si>
  <si>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</si>
  <si>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</si>
  <si>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</si>
  <si>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</si>
  <si>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</si>
  <si>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</si>
  <si>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</si>
  <si>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</si>
  <si>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</si>
  <si>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</si>
  <si>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</si>
  <si>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</si>
  <si>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</si>
  <si>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</si>
  <si>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</si>
  <si>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</si>
  <si>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</si>
  <si>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</si>
  <si>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</si>
  <si>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</si>
  <si>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</si>
  <si>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</si>
  <si>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</si>
  <si>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</si>
  <si>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</si>
  <si>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</si>
  <si>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</si>
  <si>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</si>
  <si>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</si>
  <si>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</si>
  <si>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</si>
  <si>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</si>
  <si>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</si>
  <si>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</si>
  <si>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</si>
  <si>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</si>
  <si>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</si>
  <si>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</si>
  <si>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</si>
  <si>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</si>
  <si>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</si>
  <si>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</si>
  <si>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</si>
  <si>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</si>
  <si>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</si>
  <si>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</si>
  <si>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</si>
  <si>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</si>
  <si>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</si>
  <si>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</si>
  <si>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</si>
  <si>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</si>
  <si>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</si>
  <si>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</si>
  <si>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</si>
  <si>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</si>
  <si>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</si>
  <si>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</si>
  <si>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</si>
  <si>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</si>
  <si>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</si>
  <si>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</si>
  <si>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</si>
  <si>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</si>
  <si>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</si>
  <si>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</si>
  <si>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</si>
  <si>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</si>
  <si>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</si>
  <si>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</si>
  <si>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</si>
  <si>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</si>
  <si>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</si>
  <si>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</si>
  <si>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</si>
  <si>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</si>
  <si>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</si>
  <si>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</si>
  <si>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</si>
  <si>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</si>
  <si>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</si>
  <si>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</si>
  <si>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</si>
  <si>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</si>
  <si>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</si>
  <si>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</si>
  <si>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</si>
  <si>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</si>
  <si>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</si>
  <si>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</si>
  <si>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</si>
  <si>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</si>
  <si>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</si>
  <si>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</si>
  <si>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</si>
  <si>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</si>
  <si>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</si>
  <si>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</si>
  <si>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</si>
  <si>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</si>
  <si>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</si>
  <si>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</si>
  <si>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</si>
  <si>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</si>
  <si>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</si>
  <si>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</si>
  <si>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</si>
  <si>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</si>
  <si>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</si>
  <si>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</si>
  <si>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</si>
  <si>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</si>
  <si>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</si>
  <si>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</si>
  <si>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</si>
  <si>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</si>
  <si>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</si>
  <si>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</si>
  <si>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</si>
  <si>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</si>
  <si>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</si>
  <si>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</si>
  <si>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</si>
  <si>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</si>
  <si>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</si>
  <si>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</si>
  <si>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</si>
  <si>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</si>
  <si>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</si>
  <si>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</si>
  <si>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</si>
  <si>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</si>
  <si>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</si>
  <si>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</si>
  <si>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</si>
  <si>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</si>
  <si>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</si>
  <si>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</si>
  <si>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</si>
  <si>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</si>
  <si>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</si>
  <si>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</si>
  <si>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</si>
  <si>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</si>
  <si>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</si>
  <si>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</si>
  <si>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</si>
  <si>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</si>
  <si>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</si>
  <si>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</si>
  <si>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</si>
  <si>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</si>
  <si>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</si>
  <si>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</si>
  <si>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</si>
  <si>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</si>
  <si>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</si>
  <si>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</si>
  <si>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</si>
  <si>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</si>
  <si>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</si>
  <si>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</si>
  <si>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</si>
  <si>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</si>
  <si>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</si>
  <si>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</si>
  <si>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</si>
  <si>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</si>
  <si>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</si>
  <si>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</si>
  <si>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</si>
  <si>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</si>
  <si>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</si>
  <si>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</si>
  <si>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</si>
  <si>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</si>
  <si>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</si>
  <si>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</si>
  <si>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</si>
  <si>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</si>
  <si>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</si>
  <si>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</si>
  <si>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</si>
  <si>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</si>
  <si>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</si>
  <si>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</si>
  <si>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</si>
  <si>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</si>
  <si>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</si>
  <si>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</si>
  <si>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</si>
  <si>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</si>
  <si>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</si>
  <si>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</si>
  <si>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</si>
  <si>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</si>
  <si>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</si>
  <si>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</si>
  <si>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</si>
  <si>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</si>
  <si>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</si>
  <si>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</si>
  <si>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</si>
  <si>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</si>
  <si>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</si>
  <si>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</si>
  <si>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</si>
  <si>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</si>
  <si>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</si>
  <si>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</si>
  <si>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</si>
  <si>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</si>
  <si>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</si>
  <si>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</si>
  <si>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</si>
  <si>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</si>
  <si>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</si>
  <si>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</si>
  <si>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</si>
  <si>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</si>
  <si>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</si>
  <si>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</si>
  <si>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</si>
  <si>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</si>
  <si>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</si>
  <si>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</si>
  <si>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</si>
  <si>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</si>
  <si>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</si>
  <si>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</si>
  <si>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</si>
  <si>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</si>
  <si>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</si>
  <si>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</si>
  <si>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</si>
  <si>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</si>
  <si>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</si>
  <si>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</si>
  <si>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</si>
  <si>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</si>
  <si>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</si>
  <si>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</si>
  <si>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</si>
  <si>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</si>
  <si>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</si>
  <si>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</si>
  <si>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</si>
  <si>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</si>
  <si>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</si>
  <si>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</si>
  <si>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</si>
  <si>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</si>
  <si>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</si>
  <si>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</si>
  <si>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</si>
  <si>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</si>
  <si>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</si>
  <si>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</si>
  <si>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</si>
  <si>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</si>
  <si>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</si>
  <si>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</si>
  <si>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</si>
  <si>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</si>
  <si>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</si>
  <si>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</si>
  <si>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</si>
  <si>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</si>
  <si>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</si>
  <si>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</si>
  <si>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</si>
  <si>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</si>
  <si>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</si>
  <si>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</si>
  <si>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</si>
  <si>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</si>
  <si>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</si>
  <si>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</si>
  <si>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</si>
  <si>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</si>
  <si>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</si>
  <si>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</si>
  <si>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</si>
  <si>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</si>
  <si>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</si>
  <si>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</si>
  <si>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</si>
  <si>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</si>
  <si>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</si>
  <si>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</si>
  <si>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</si>
  <si>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</si>
  <si>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</si>
  <si>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</si>
  <si>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</si>
  <si>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</si>
  <si>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</si>
  <si>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</si>
  <si>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</si>
  <si>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</si>
  <si>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</si>
  <si>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</si>
  <si>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</si>
  <si>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</si>
  <si>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</si>
  <si>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</si>
  <si>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</si>
  <si>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</si>
  <si>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</si>
  <si>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</si>
  <si>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</si>
  <si>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</si>
  <si>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</si>
  <si>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</si>
  <si>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</si>
  <si>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</si>
  <si>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</si>
  <si>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</si>
  <si>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</si>
  <si>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</si>
  <si>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</si>
  <si>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</si>
  <si>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</si>
  <si>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</si>
  <si>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</si>
  <si>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</si>
  <si>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</si>
  <si>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</si>
  <si>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</si>
  <si>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</si>
  <si>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</si>
  <si>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</si>
  <si>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</si>
  <si>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</si>
  <si>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</si>
  <si>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</si>
  <si>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</si>
  <si>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</si>
  <si>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</si>
  <si>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</si>
  <si>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</si>
  <si>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</si>
  <si>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</si>
  <si>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</si>
  <si>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</si>
  <si>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</si>
  <si>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</si>
  <si>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</si>
  <si>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</si>
  <si>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</si>
  <si>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</si>
  <si>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</si>
  <si>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</si>
  <si>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</si>
  <si>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</si>
  <si>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</si>
  <si>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</si>
  <si>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</si>
  <si>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</si>
  <si>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</si>
  <si>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</si>
  <si>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</si>
  <si>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</si>
  <si>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</si>
  <si>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</si>
  <si>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</si>
  <si>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</si>
  <si>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</si>
  <si>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</si>
  <si>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</si>
  <si>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</si>
  <si>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</si>
  <si>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</si>
  <si>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</si>
  <si>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</si>
  <si>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</si>
  <si>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</si>
  <si>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</si>
  <si>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</si>
  <si>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</si>
  <si>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</si>
  <si>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</si>
  <si>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</si>
  <si>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</si>
  <si>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</si>
  <si>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</si>
  <si>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</si>
  <si>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</si>
  <si>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</si>
  <si>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</si>
  <si>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</si>
  <si>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</si>
  <si>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</si>
  <si>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</si>
  <si>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</si>
  <si>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</si>
  <si>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</si>
  <si>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</si>
  <si>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</si>
  <si>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</si>
  <si>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</si>
  <si>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</si>
  <si>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</si>
  <si>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</si>
  <si>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</si>
  <si>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</si>
  <si>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</si>
  <si>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</si>
  <si>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</si>
  <si>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</si>
  <si>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</si>
  <si>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</si>
  <si>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</si>
  <si>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</si>
  <si>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</si>
  <si>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</si>
  <si>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</si>
  <si>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</si>
  <si>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</si>
  <si>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</si>
  <si>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</si>
  <si>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</si>
  <si>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</si>
  <si>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</si>
  <si>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</si>
  <si>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</si>
  <si>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</si>
  <si>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</si>
  <si>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</si>
  <si>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</si>
  <si>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</si>
  <si>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</si>
  <si>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</si>
  <si>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</si>
  <si>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</si>
  <si>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</si>
  <si>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</si>
  <si>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</si>
  <si>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</si>
  <si>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</si>
  <si>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</si>
  <si>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</si>
  <si>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</si>
  <si>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</si>
  <si>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</si>
  <si>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</si>
  <si>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</si>
  <si>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</si>
  <si>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</si>
  <si>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</si>
  <si>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</si>
  <si>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</si>
  <si>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</si>
  <si>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</si>
  <si>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</si>
  <si>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</si>
  <si>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</si>
  <si>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</si>
  <si>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</si>
  <si>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</si>
  <si>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</si>
  <si>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</si>
  <si>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</si>
  <si>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</si>
  <si>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</si>
  <si>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</si>
  <si>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</si>
  <si>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</si>
  <si>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</si>
  <si>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</si>
  <si>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</si>
  <si>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</si>
  <si>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</si>
  <si>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</si>
  <si>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</si>
  <si>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</si>
  <si>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</si>
  <si>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</si>
  <si>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</si>
  <si>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</si>
  <si>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</si>
  <si>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</si>
  <si>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</si>
  <si>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</si>
  <si>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</si>
  <si>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</si>
  <si>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</si>
  <si>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</si>
  <si>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</si>
  <si>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</si>
  <si>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</si>
  <si>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</si>
  <si>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</si>
  <si>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</si>
  <si>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</si>
  <si>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</si>
  <si>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</si>
  <si>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</si>
  <si>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</si>
  <si>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</si>
  <si>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</si>
  <si>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</si>
  <si>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</si>
  <si>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</si>
  <si>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</si>
  <si>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</si>
  <si>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</si>
  <si>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</si>
  <si>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</si>
  <si>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</si>
  <si>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</si>
  <si>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</si>
  <si>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</si>
  <si>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</si>
  <si>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</si>
  <si>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</si>
  <si>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</si>
  <si>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</si>
  <si>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</si>
  <si>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</si>
  <si>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</si>
  <si>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</si>
  <si>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</si>
  <si>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</si>
  <si>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</si>
  <si>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</si>
  <si>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</si>
  <si>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</si>
  <si>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</si>
  <si>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</si>
  <si>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</si>
  <si>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</si>
  <si>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</si>
  <si>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</si>
  <si>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</si>
  <si>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</si>
  <si>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</si>
  <si>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</si>
  <si>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</si>
  <si>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</si>
  <si>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</si>
  <si>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</si>
  <si>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</si>
  <si>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</si>
  <si>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</si>
  <si>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</si>
  <si>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</si>
  <si>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</si>
  <si>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</si>
  <si>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</si>
  <si>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</si>
  <si>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</si>
  <si>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</si>
  <si>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</si>
  <si>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</si>
  <si>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</si>
  <si>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</si>
  <si>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</si>
  <si>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</si>
  <si>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</si>
  <si>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</si>
  <si>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</si>
  <si>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</si>
  <si>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</si>
  <si>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</si>
  <si>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</si>
  <si>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</si>
  <si>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</si>
  <si>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</si>
  <si>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</si>
  <si>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</si>
  <si>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</si>
  <si>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</si>
  <si>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</si>
  <si>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</si>
  <si>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</si>
  <si>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</si>
  <si>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</si>
  <si>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</si>
  <si>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</si>
  <si>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</si>
  <si>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</si>
  <si>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</si>
  <si>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</si>
  <si>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</si>
  <si>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</si>
  <si>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</si>
  <si>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</si>
  <si>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</si>
  <si>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</si>
  <si>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</si>
  <si>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</si>
  <si>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</si>
  <si>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</si>
  <si>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</si>
  <si>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</si>
  <si>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</si>
  <si>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</si>
  <si>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</si>
  <si>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</si>
  <si>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</si>
  <si>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</si>
  <si>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</si>
  <si>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</si>
  <si>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</si>
  <si>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</si>
  <si>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</si>
  <si>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</si>
  <si>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</si>
  <si>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</si>
  <si>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</si>
  <si>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</si>
  <si>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</si>
  <si>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</si>
  <si>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</si>
  <si>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</si>
  <si>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</si>
  <si>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</si>
  <si>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</si>
  <si>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</si>
  <si>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</si>
  <si>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</si>
  <si>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</si>
  <si>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</si>
  <si>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</si>
  <si>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</si>
  <si>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</si>
  <si>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</si>
  <si>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</si>
  <si>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</si>
  <si>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</si>
  <si>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</si>
  <si>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</si>
  <si>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</si>
  <si>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</si>
  <si>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</si>
  <si>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</si>
  <si>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</si>
  <si>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</si>
  <si>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</si>
  <si>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</si>
  <si>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</si>
  <si>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</si>
  <si>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</si>
  <si>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</si>
  <si>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</si>
  <si>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</si>
  <si>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</si>
  <si>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</si>
  <si>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</si>
  <si>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</si>
  <si>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</si>
  <si>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</si>
  <si>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</si>
  <si>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</si>
  <si>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</si>
  <si>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</si>
  <si>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</si>
  <si>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</si>
  <si>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</si>
  <si>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</si>
  <si>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</si>
  <si>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</si>
  <si>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</si>
  <si>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</si>
  <si>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</si>
  <si>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</si>
  <si>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</si>
  <si>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</si>
  <si>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</si>
  <si>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</si>
  <si>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</si>
  <si>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</si>
  <si>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</si>
  <si>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</si>
  <si>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</si>
  <si>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</si>
  <si>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</si>
  <si>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</si>
  <si>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</si>
  <si>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</si>
  <si>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</si>
  <si>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</si>
  <si>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</si>
  <si>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</si>
  <si>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</si>
  <si>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</si>
  <si>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</si>
  <si>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</si>
  <si>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</si>
  <si>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</si>
  <si>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</si>
  <si>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</si>
  <si>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</si>
  <si>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</si>
  <si>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</si>
  <si>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</si>
  <si>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</si>
  <si>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</si>
  <si>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</si>
  <si>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</si>
  <si>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</si>
  <si>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</si>
  <si>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</si>
  <si>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</si>
  <si>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</si>
  <si>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</si>
  <si>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</si>
  <si>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</si>
  <si>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</si>
  <si>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</si>
  <si>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</si>
  <si>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</si>
  <si>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</si>
  <si>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</si>
  <si>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</si>
  <si>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</si>
  <si>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</si>
  <si>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</si>
  <si>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</si>
  <si>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</si>
  <si>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</si>
  <si>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</si>
  <si>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</si>
  <si>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</si>
  <si>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</si>
  <si>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</si>
  <si>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</si>
  <si>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</si>
  <si>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</si>
  <si>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</si>
  <si>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</si>
  <si>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</si>
  <si>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</si>
  <si>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</si>
  <si>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</si>
  <si>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</si>
  <si>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</si>
  <si>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</si>
  <si>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</si>
  <si>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</si>
  <si>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</si>
  <si>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</si>
  <si>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</si>
  <si>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</si>
  <si>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</si>
  <si>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</si>
  <si>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</si>
  <si>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</si>
  <si>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</si>
  <si>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</si>
  <si>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</si>
  <si>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</si>
  <si>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</si>
  <si>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</si>
  <si>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</si>
  <si>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</si>
  <si>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</si>
  <si>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</si>
  <si>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</si>
  <si>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</si>
  <si>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</si>
  <si>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</si>
  <si>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</si>
  <si>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</si>
  <si>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</si>
  <si>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</si>
  <si>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</si>
  <si>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</si>
  <si>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</si>
  <si>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</si>
  <si>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</si>
  <si>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</si>
  <si>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</si>
  <si>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</si>
  <si>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</si>
  <si>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</si>
  <si>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</si>
  <si>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</si>
  <si>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</si>
  <si>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</si>
  <si>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</si>
  <si>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</si>
  <si>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</si>
  <si>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</si>
  <si>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</si>
  <si>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</si>
  <si>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</si>
  <si>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</si>
  <si>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</si>
  <si>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</si>
  <si>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</si>
  <si>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</si>
  <si>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</si>
  <si>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</si>
  <si>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</si>
  <si>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</si>
  <si>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</si>
  <si>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</si>
  <si>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</si>
  <si>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</si>
  <si>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</si>
  <si>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</si>
  <si>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</si>
  <si>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</si>
  <si>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</si>
  <si>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</si>
  <si>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</si>
  <si>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</si>
  <si>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</si>
  <si>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</si>
  <si>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</si>
  <si>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</si>
  <si>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</si>
  <si>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</si>
  <si>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</si>
  <si>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</si>
  <si>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</si>
  <si>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</si>
  <si>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</si>
  <si>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</si>
  <si>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</si>
  <si>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</si>
  <si>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</si>
  <si>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</si>
  <si>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</si>
  <si>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</si>
  <si>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</si>
  <si>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</si>
  <si>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</si>
  <si>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</si>
  <si>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</si>
  <si>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</si>
  <si>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</si>
  <si>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</si>
  <si>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</si>
  <si>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</si>
  <si>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</si>
  <si>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</si>
  <si>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</si>
  <si>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</si>
  <si>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</si>
  <si>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</si>
  <si>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</si>
  <si>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</si>
  <si>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</si>
  <si>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</si>
  <si>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</si>
  <si>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</si>
  <si>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</si>
  <si>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</si>
  <si>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</si>
  <si>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</si>
  <si>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</si>
  <si>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</si>
  <si>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</si>
  <si>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</si>
  <si>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</si>
  <si>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</si>
  <si>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</si>
  <si>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</si>
  <si>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</si>
  <si>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</si>
  <si>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</si>
  <si>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</si>
  <si>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</si>
  <si>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</si>
  <si>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</si>
  <si>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</si>
  <si>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</si>
  <si>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</si>
  <si>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</si>
  <si>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</si>
  <si>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</si>
  <si>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</si>
  <si>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</si>
  <si>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</si>
  <si>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</si>
  <si>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</si>
  <si>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</si>
  <si>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</si>
  <si>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</si>
  <si>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</si>
  <si>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</si>
  <si>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</si>
  <si>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</si>
  <si>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</si>
  <si>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</si>
  <si>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</si>
  <si>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</si>
  <si>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</si>
  <si>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</si>
  <si>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</si>
  <si>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</si>
  <si>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</si>
  <si>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</si>
  <si>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</si>
  <si>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</si>
  <si>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</si>
  <si>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</si>
  <si>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</si>
  <si>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</si>
  <si>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</si>
  <si>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</si>
  <si>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</si>
  <si>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</si>
  <si>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</si>
  <si>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</si>
  <si>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</si>
  <si>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</si>
  <si>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</si>
  <si>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</si>
  <si>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</si>
  <si>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</si>
  <si>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</si>
  <si>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</si>
  <si>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</si>
  <si>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</si>
  <si>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</si>
  <si>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</si>
  <si>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</si>
  <si>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</si>
  <si>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</si>
  <si>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</si>
  <si>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</si>
  <si>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</si>
  <si>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</si>
  <si>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</si>
  <si>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</si>
  <si>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</si>
  <si>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</si>
  <si>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</si>
  <si>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</si>
  <si>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</si>
  <si>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</si>
  <si>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</si>
  <si>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</si>
  <si>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</si>
  <si>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</si>
  <si>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</si>
  <si>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</si>
  <si>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</si>
  <si>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</si>
  <si>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</si>
  <si>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</si>
  <si>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</si>
  <si>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</si>
  <si>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</si>
  <si>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</si>
  <si>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</si>
  <si>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</si>
  <si>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</si>
  <si>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</si>
  <si>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</si>
  <si>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</si>
  <si>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</si>
  <si>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</si>
  <si>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</si>
  <si>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</si>
  <si>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</si>
  <si>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</si>
  <si>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</si>
  <si>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</si>
  <si>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</si>
  <si>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</si>
  <si>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</si>
  <si>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</si>
  <si>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</si>
  <si>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</si>
  <si>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</si>
  <si>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</si>
  <si>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</si>
  <si>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</si>
  <si>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</si>
  <si>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</si>
  <si>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</si>
  <si>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</si>
  <si>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</si>
  <si>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</si>
  <si>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</si>
  <si>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</si>
  <si>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</si>
  <si>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</si>
  <si>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</si>
  <si>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</si>
  <si>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</si>
  <si>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</si>
  <si>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</si>
  <si>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</si>
  <si>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</si>
  <si>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</si>
  <si>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</si>
  <si>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</si>
  <si>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</si>
  <si>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</si>
  <si>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</si>
  <si>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</si>
  <si>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</si>
  <si>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</si>
  <si>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</si>
  <si>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</si>
  <si>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</si>
  <si>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</si>
  <si>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</si>
  <si>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</si>
  <si>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</si>
  <si>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</si>
  <si>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</si>
  <si>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</si>
  <si>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</si>
  <si>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</si>
  <si>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</si>
  <si>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</si>
  <si>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</si>
  <si>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</si>
  <si>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</si>
  <si>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</si>
  <si>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</si>
  <si>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</si>
  <si>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</si>
  <si>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</si>
  <si>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</si>
  <si>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</si>
  <si>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</si>
  <si>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</si>
  <si>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</si>
  <si>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</si>
  <si>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</si>
  <si>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</si>
  <si>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</si>
  <si>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</si>
  <si>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</si>
  <si>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</si>
  <si>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</si>
  <si>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</si>
  <si>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</si>
  <si>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</si>
  <si>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</si>
  <si>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</si>
  <si>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</si>
  <si>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</si>
  <si>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</si>
  <si>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</si>
  <si>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</si>
  <si>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</si>
  <si>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</si>
  <si>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</si>
  <si>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</si>
  <si>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</si>
  <si>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</si>
  <si>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</si>
  <si>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</si>
  <si>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</si>
  <si>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</si>
  <si>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</si>
  <si>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</si>
  <si>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</si>
  <si>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</si>
  <si>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</si>
  <si>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</si>
  <si>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</si>
  <si>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</si>
  <si>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</si>
  <si>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</si>
  <si>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</si>
  <si>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</si>
  <si>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</si>
  <si>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</si>
  <si>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</si>
  <si>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</si>
  <si>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</si>
  <si>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</si>
  <si>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</si>
  <si>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</si>
  <si>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</si>
  <si>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</si>
  <si>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</si>
  <si>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</si>
  <si>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</si>
  <si>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</si>
  <si>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</si>
  <si>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</si>
  <si>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</si>
  <si>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</si>
  <si>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</si>
  <si>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</si>
  <si>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</si>
  <si>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</si>
  <si>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</si>
  <si>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</si>
  <si>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</si>
  <si>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</si>
  <si>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</si>
  <si>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</si>
  <si>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</si>
  <si>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</si>
  <si>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</si>
  <si>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</si>
  <si>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</si>
  <si>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</si>
  <si>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</si>
  <si>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</si>
  <si>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</si>
  <si>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</si>
  <si>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</si>
  <si>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</si>
  <si>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</si>
  <si>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</si>
  <si>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</si>
  <si>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</si>
  <si>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</si>
  <si>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</si>
  <si>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</si>
  <si>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</si>
  <si>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</si>
  <si>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</si>
  <si>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</si>
  <si>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</si>
  <si>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</si>
  <si>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</si>
  <si>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</si>
  <si>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</si>
  <si>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</si>
  <si>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</si>
  <si>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</si>
  <si>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</si>
  <si>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</si>
  <si>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</si>
  <si>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</si>
  <si>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</si>
  <si>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</si>
  <si>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</si>
  <si>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</si>
  <si>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</si>
  <si>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</si>
  <si>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</si>
  <si>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</si>
  <si>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</si>
  <si>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</si>
  <si>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</si>
  <si>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</si>
  <si>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</si>
  <si>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</si>
  <si>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</si>
  <si>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</si>
  <si>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</si>
  <si>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</si>
  <si>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</si>
  <si>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</si>
  <si>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</si>
  <si>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</si>
  <si>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</si>
  <si>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</si>
  <si>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</si>
  <si>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</si>
  <si>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</si>
  <si>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</si>
  <si>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</si>
  <si>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</si>
  <si>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</si>
  <si>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</si>
  <si>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</si>
  <si>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</si>
  <si>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</si>
  <si>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</si>
  <si>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</si>
  <si>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</si>
  <si>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</si>
  <si>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</si>
  <si>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</si>
  <si>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</si>
  <si>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</si>
  <si>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</si>
  <si>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</si>
  <si>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</si>
  <si>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</si>
  <si>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</si>
  <si>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</si>
  <si>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</si>
  <si>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</si>
  <si>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</si>
  <si>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</si>
  <si>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</si>
  <si>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</si>
  <si>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</si>
  <si>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</si>
  <si>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</si>
  <si>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</si>
  <si>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</si>
  <si>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</si>
  <si>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</si>
  <si>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</si>
  <si>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</si>
  <si>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</si>
  <si>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</si>
  <si>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</si>
  <si>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</si>
  <si>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</si>
  <si>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</si>
  <si>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</si>
  <si>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</si>
  <si>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</si>
  <si>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</si>
  <si>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</si>
  <si>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</si>
  <si>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</si>
  <si>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</si>
  <si>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</si>
  <si>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</si>
  <si>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</si>
  <si>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</si>
  <si>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</si>
  <si>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</si>
  <si>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</si>
  <si>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</si>
  <si>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</si>
  <si>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</si>
  <si>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</si>
  <si>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</si>
  <si>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</si>
  <si>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</si>
  <si>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</si>
  <si>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</si>
  <si>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</si>
  <si>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</si>
  <si>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</si>
  <si>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</si>
  <si>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</si>
  <si>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</si>
  <si>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</si>
  <si>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</si>
  <si>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</si>
  <si>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</si>
  <si>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</si>
  <si>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</si>
  <si>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</si>
  <si>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</si>
  <si>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</si>
  <si>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</si>
  <si>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</si>
  <si>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</si>
  <si>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</si>
  <si>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</si>
  <si>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</si>
  <si>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</si>
  <si>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</si>
  <si>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</si>
  <si>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</si>
  <si>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</si>
  <si>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</si>
  <si>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</si>
  <si>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</si>
  <si>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</si>
  <si>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</si>
  <si>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</si>
  <si>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</si>
  <si>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</si>
  <si>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</si>
  <si>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</si>
  <si>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</si>
  <si>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</si>
  <si>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</si>
  <si>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</si>
  <si>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</si>
  <si>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</si>
  <si>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</si>
  <si>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</si>
  <si>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</si>
  <si>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</si>
  <si>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</si>
  <si>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</si>
  <si>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</si>
  <si>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</si>
  <si>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</si>
  <si>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</si>
  <si>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</si>
  <si>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</si>
  <si>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</si>
  <si>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</si>
  <si>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</si>
  <si>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</si>
  <si>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</si>
  <si>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</si>
  <si>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</si>
  <si>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</si>
  <si>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</si>
  <si>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</si>
  <si>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</si>
  <si>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</si>
  <si>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</si>
  <si>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</si>
  <si>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</si>
  <si>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</si>
  <si>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</si>
  <si>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</si>
  <si>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</si>
  <si>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</si>
  <si>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</si>
  <si>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</si>
  <si>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</si>
  <si>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</si>
  <si>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</si>
  <si>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</si>
  <si>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</si>
  <si>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</si>
  <si>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</si>
  <si>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</si>
  <si>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</si>
  <si>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</si>
  <si>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</si>
  <si>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</si>
  <si>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</si>
  <si>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</si>
  <si>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</si>
  <si>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</si>
  <si>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</si>
  <si>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</si>
  <si>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</si>
  <si>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</si>
  <si>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</si>
  <si>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</si>
  <si>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</si>
  <si>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</si>
  <si>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</si>
  <si>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</si>
  <si>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</si>
  <si>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</si>
  <si>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</si>
  <si>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</si>
  <si>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</si>
  <si>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</si>
  <si>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</si>
  <si>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</si>
  <si>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</si>
  <si>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</si>
  <si>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</si>
  <si>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</si>
  <si>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</si>
  <si>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</si>
  <si>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</si>
  <si>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</si>
  <si>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</si>
  <si>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</si>
  <si>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</si>
  <si>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</si>
  <si>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</si>
  <si>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</si>
  <si>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</si>
  <si>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</si>
  <si>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</si>
  <si>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</si>
  <si>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</si>
  <si>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</si>
  <si>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</si>
  <si>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</si>
  <si>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</si>
  <si>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</si>
  <si>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</si>
  <si>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</si>
  <si>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</si>
  <si>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</si>
  <si>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</si>
  <si>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</si>
  <si>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</si>
  <si>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</si>
  <si>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</si>
  <si>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</si>
  <si>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</si>
  <si>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</si>
  <si>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</si>
  <si>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</si>
  <si>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</si>
  <si>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</si>
  <si>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</si>
  <si>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</si>
  <si>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</si>
  <si>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</si>
  <si>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</si>
  <si>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</si>
  <si>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</si>
  <si>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</si>
  <si>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</si>
  <si>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</si>
  <si>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</si>
  <si>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</si>
  <si>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</si>
  <si>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</si>
  <si>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</si>
  <si>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</si>
  <si>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</si>
  <si>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</si>
  <si>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</si>
  <si>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</si>
  <si>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</si>
  <si>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</si>
  <si>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</si>
  <si>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</si>
  <si>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</si>
  <si>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</si>
  <si>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</si>
  <si>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</si>
  <si>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</si>
  <si>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</si>
  <si>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</si>
  <si>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</si>
  <si>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</si>
  <si>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</si>
  <si>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</si>
  <si>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</si>
  <si>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</si>
  <si>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</si>
  <si>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</si>
  <si>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</si>
  <si>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</si>
  <si>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</si>
  <si>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</si>
  <si>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</si>
  <si>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</si>
  <si>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</si>
  <si>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</si>
  <si>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</si>
  <si>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</si>
  <si>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</si>
  <si>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</si>
  <si>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</si>
  <si>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</si>
  <si>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</si>
  <si>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</si>
  <si>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</si>
  <si>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</si>
  <si>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</si>
  <si>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</si>
  <si>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</si>
  <si>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</si>
  <si>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</si>
  <si>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</si>
  <si>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</si>
  <si>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</si>
  <si>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</si>
  <si>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</si>
  <si>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</si>
  <si>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</si>
  <si>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</si>
  <si>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</si>
  <si>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</si>
  <si>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</si>
  <si>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</si>
  <si>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</si>
  <si>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</si>
  <si>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</si>
  <si>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</si>
  <si>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</si>
  <si>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</si>
  <si>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</si>
  <si>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</si>
  <si>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</si>
  <si>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</si>
  <si>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</si>
  <si>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</si>
  <si>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</si>
  <si>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</si>
  <si>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</si>
  <si>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</si>
  <si>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</si>
  <si>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</si>
  <si>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</si>
  <si>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</si>
  <si>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</si>
  <si>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</si>
  <si>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</si>
  <si>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</si>
  <si>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</si>
  <si>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</si>
  <si>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</si>
  <si>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</si>
  <si>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</si>
  <si>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</si>
  <si>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</si>
  <si>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</si>
  <si>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</si>
  <si>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</si>
  <si>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</si>
  <si>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</si>
  <si>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</si>
  <si>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</si>
  <si>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</si>
  <si>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</si>
  <si>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</si>
  <si>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</si>
  <si>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</si>
  <si>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</si>
  <si>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</si>
  <si>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</si>
  <si>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</si>
  <si>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</si>
  <si>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</si>
  <si>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</si>
  <si>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</si>
  <si>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</si>
  <si>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</si>
  <si>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</si>
  <si>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</si>
  <si>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</si>
  <si>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</si>
  <si>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</si>
  <si>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</si>
  <si>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</si>
  <si>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</si>
  <si>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</si>
  <si>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</si>
  <si>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</si>
  <si>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</si>
  <si>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</si>
  <si>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</si>
  <si>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</si>
  <si>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</si>
  <si>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</si>
  <si>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</si>
  <si>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</si>
  <si>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</si>
  <si>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</si>
  <si>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</si>
  <si>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</si>
  <si>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</si>
  <si>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</si>
  <si>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</si>
  <si>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</si>
  <si>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</si>
  <si>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</si>
  <si>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</si>
  <si>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</si>
  <si>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</si>
  <si>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</si>
  <si>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</si>
  <si>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</si>
  <si>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</si>
  <si>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</si>
  <si>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</si>
  <si>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</si>
  <si>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</si>
  <si>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</si>
  <si>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</si>
  <si>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</si>
  <si>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</si>
  <si>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</si>
  <si>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</si>
  <si>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</si>
  <si>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</si>
  <si>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</si>
  <si>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</si>
  <si>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</si>
  <si>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</si>
  <si>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</si>
  <si>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</si>
  <si>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</si>
  <si>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</si>
  <si>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</si>
  <si>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</si>
  <si>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</si>
  <si>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</si>
  <si>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</si>
  <si>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</si>
  <si>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</si>
  <si>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</si>
  <si>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</si>
  <si>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</si>
  <si>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</si>
  <si>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</si>
  <si>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</si>
  <si>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</si>
  <si>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</si>
  <si>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</si>
  <si>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</si>
  <si>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</si>
  <si>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</si>
  <si>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</si>
  <si>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</si>
  <si>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</si>
  <si>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</si>
  <si>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</si>
  <si>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</si>
  <si>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</si>
  <si>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</si>
  <si>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</si>
  <si>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</si>
  <si>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</si>
  <si>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</si>
  <si>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</si>
  <si>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</si>
  <si>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</si>
  <si>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</si>
  <si>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</si>
  <si>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</si>
  <si>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</si>
  <si>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</si>
  <si>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</si>
  <si>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</si>
  <si>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</si>
  <si>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</si>
  <si>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</si>
  <si>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</si>
  <si>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</si>
  <si>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</si>
  <si>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</si>
  <si>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</si>
  <si>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</si>
  <si>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</si>
  <si>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</si>
  <si>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</si>
  <si>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</si>
  <si>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</si>
  <si>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</si>
  <si>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</si>
  <si>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</si>
  <si>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</si>
  <si>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</si>
  <si>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</si>
  <si>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</si>
  <si>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</si>
  <si>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</si>
  <si>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</si>
  <si>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</si>
  <si>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</si>
  <si>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</si>
  <si>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</si>
  <si>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</si>
  <si>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</si>
  <si>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</si>
  <si>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</si>
  <si>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</si>
  <si>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</si>
  <si>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</si>
  <si>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</si>
  <si>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</si>
  <si>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</si>
  <si>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</si>
  <si>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</si>
  <si>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</si>
  <si>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</si>
  <si>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</si>
  <si>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</si>
  <si>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</si>
  <si>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</si>
  <si>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</si>
  <si>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</si>
  <si>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</si>
  <si>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</si>
  <si>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</si>
  <si>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</si>
  <si>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</si>
  <si>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</si>
  <si>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</si>
  <si>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</si>
  <si>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</si>
  <si>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</si>
  <si>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</si>
  <si>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</si>
  <si>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</si>
  <si>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</si>
  <si>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</si>
  <si>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</si>
  <si>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</si>
  <si>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</si>
  <si>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</si>
  <si>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</si>
  <si>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</si>
  <si>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</si>
  <si>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</si>
  <si>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</si>
  <si>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</si>
  <si>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</si>
  <si>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</si>
  <si>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</si>
  <si>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</si>
  <si>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</si>
  <si>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</si>
  <si>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</si>
  <si>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</si>
  <si>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</si>
  <si>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</si>
  <si>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</si>
  <si>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</si>
  <si>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</si>
  <si>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</si>
  <si>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</si>
  <si>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</si>
  <si>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</si>
  <si>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</si>
  <si>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</si>
  <si>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</si>
  <si>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</si>
  <si>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</si>
  <si>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</si>
  <si>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</si>
  <si>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</si>
  <si>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</si>
  <si>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</si>
  <si>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</si>
  <si>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</si>
  <si>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</si>
  <si>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</si>
  <si>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</si>
  <si>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</si>
  <si>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</si>
  <si>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</si>
  <si>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</si>
  <si>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</si>
  <si>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</si>
  <si>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</si>
  <si>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</si>
  <si>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</si>
  <si>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</si>
  <si>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</si>
  <si>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</si>
  <si>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</si>
  <si>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</si>
  <si>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</si>
  <si>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</si>
  <si>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</si>
  <si>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</si>
  <si>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</si>
  <si>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</si>
  <si>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</si>
  <si>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</si>
  <si>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</si>
  <si>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</si>
  <si>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</si>
  <si>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</si>
  <si>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</si>
  <si>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</si>
  <si>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</si>
  <si>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</si>
  <si>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</si>
  <si>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</si>
  <si>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</si>
  <si>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</si>
  <si>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</si>
  <si>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</si>
  <si>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</si>
  <si>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</si>
  <si>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</si>
  <si>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</si>
  <si>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</si>
  <si>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</si>
  <si>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</si>
  <si>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</si>
  <si>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</si>
  <si>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</si>
  <si>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</si>
  <si>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</si>
  <si>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</si>
  <si>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</si>
  <si>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</si>
  <si>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</si>
  <si>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</si>
  <si>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</si>
  <si>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</si>
  <si>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</si>
  <si>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</si>
  <si>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</si>
  <si>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</si>
  <si>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</si>
  <si>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</si>
  <si>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</si>
  <si>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</si>
  <si>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</si>
  <si>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</si>
  <si>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</si>
  <si>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</si>
  <si>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</si>
  <si>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</si>
  <si>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</si>
  <si>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</si>
  <si>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</si>
  <si>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</si>
  <si>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</si>
  <si>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</si>
  <si>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</si>
  <si>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</si>
  <si>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</si>
  <si>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</si>
  <si>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</si>
  <si>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</si>
  <si>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</si>
  <si>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</si>
  <si>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</si>
  <si>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</si>
  <si>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</si>
  <si>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</si>
  <si>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</si>
  <si>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</si>
  <si>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</si>
  <si>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</si>
  <si>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</si>
  <si>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</si>
  <si>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</si>
  <si>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</si>
  <si>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</si>
  <si>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</si>
  <si>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</si>
  <si>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</si>
  <si>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</si>
  <si>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</si>
  <si>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</si>
  <si>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</si>
  <si>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</si>
  <si>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</si>
  <si>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</si>
  <si>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</si>
  <si>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</si>
  <si>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</si>
  <si>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</si>
  <si>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</si>
  <si>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</si>
  <si>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</si>
  <si>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</si>
  <si>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</si>
  <si>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</si>
  <si>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</si>
  <si>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</si>
  <si>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</si>
  <si>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</si>
  <si>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</si>
  <si>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</si>
  <si>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</si>
  <si>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</si>
  <si>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</si>
  <si>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</si>
  <si>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</si>
  <si>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</si>
  <si>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</si>
  <si>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</si>
  <si>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</si>
  <si>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</si>
  <si>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</si>
  <si>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</si>
  <si>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</si>
  <si>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</si>
  <si>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</si>
  <si>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</si>
  <si>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</si>
  <si>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</si>
  <si>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</si>
  <si>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</si>
  <si>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</si>
  <si>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</si>
  <si>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</si>
  <si>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</si>
  <si>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</si>
  <si>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</si>
  <si>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</si>
  <si>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</si>
  <si>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</si>
  <si>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</si>
  <si>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</si>
  <si>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</si>
  <si>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</si>
  <si>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</si>
  <si>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</si>
  <si>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</si>
  <si>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</si>
  <si>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</si>
  <si>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</si>
  <si>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</si>
  <si>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</si>
  <si>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</si>
  <si>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</si>
  <si>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</si>
  <si>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</si>
  <si>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</si>
  <si>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</si>
  <si>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</si>
  <si>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</si>
  <si>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</si>
  <si>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</si>
  <si>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</si>
  <si>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</si>
  <si>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</si>
  <si>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</si>
  <si>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</si>
  <si>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</si>
  <si>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</si>
  <si>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</si>
  <si>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</si>
  <si>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</si>
  <si>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</si>
  <si>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</si>
  <si>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</si>
  <si>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</si>
  <si>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</si>
  <si>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</si>
  <si>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</si>
  <si>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</si>
  <si>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</si>
  <si>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</si>
  <si>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</si>
  <si>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</si>
  <si>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</si>
  <si>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</si>
  <si>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</si>
  <si>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</si>
  <si>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</si>
  <si>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</si>
  <si>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</si>
  <si>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</si>
  <si>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</si>
  <si>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</si>
  <si>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</si>
  <si>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</si>
  <si>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</si>
  <si>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</si>
  <si>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</si>
  <si>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</si>
  <si>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</si>
  <si>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</si>
  <si>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</si>
  <si>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</si>
  <si>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</si>
  <si>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</si>
  <si>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</si>
  <si>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</si>
  <si>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</si>
  <si>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</si>
  <si>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</si>
  <si>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</si>
  <si>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</si>
  <si>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</si>
  <si>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</si>
  <si>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</si>
  <si>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</si>
  <si>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</si>
  <si>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</si>
  <si>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</si>
  <si>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</si>
  <si>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</si>
  <si>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</si>
  <si>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</si>
  <si>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</si>
  <si>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</si>
  <si>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</si>
  <si>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</si>
  <si>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</si>
  <si>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</si>
  <si>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</si>
  <si>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</si>
  <si>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</si>
  <si>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</si>
  <si>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</si>
  <si>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</si>
  <si>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</si>
  <si>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</si>
  <si>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</si>
  <si>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</si>
  <si>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</si>
  <si>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</si>
  <si>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</si>
  <si>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</si>
  <si>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</si>
  <si>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</si>
  <si>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</si>
  <si>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</si>
  <si>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</si>
  <si>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</si>
  <si>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</si>
  <si>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</si>
  <si>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</si>
  <si>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</si>
  <si>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</si>
  <si>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</si>
  <si>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</si>
  <si>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</si>
  <si>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</si>
  <si>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</si>
  <si>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</si>
  <si>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</si>
  <si>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</si>
  <si>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</si>
  <si>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</si>
  <si>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</si>
  <si>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</si>
  <si>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</si>
  <si>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</si>
  <si>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</si>
  <si>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</si>
  <si>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</si>
  <si>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</si>
  <si>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</si>
  <si>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</si>
  <si>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</si>
  <si>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</si>
  <si>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</si>
  <si>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</si>
  <si>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</si>
  <si>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</si>
  <si>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</si>
  <si>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</si>
  <si>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</si>
  <si>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</si>
  <si>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</si>
  <si>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</si>
  <si>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</si>
  <si>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</si>
  <si>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</si>
  <si>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</si>
  <si>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</si>
  <si>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</si>
  <si>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</si>
  <si>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</si>
  <si>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</si>
  <si>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</si>
  <si>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</si>
  <si>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</si>
  <si>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</si>
  <si>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</si>
  <si>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</si>
  <si>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</si>
  <si>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</si>
  <si>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</si>
  <si>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</si>
  <si>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</si>
  <si>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</si>
  <si>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</si>
  <si>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</si>
  <si>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</si>
  <si>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</si>
  <si>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</si>
  <si>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</si>
  <si>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</si>
  <si>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</si>
  <si>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</si>
  <si>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</si>
  <si>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</si>
  <si>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</si>
  <si>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</si>
  <si>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</si>
  <si>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</si>
  <si>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</si>
  <si>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</si>
  <si>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</si>
  <si>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</si>
  <si>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</si>
  <si>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</si>
  <si>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</si>
  <si>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</si>
  <si>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</si>
  <si>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</si>
  <si>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</si>
  <si>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</si>
  <si>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</si>
  <si>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</si>
  <si>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</si>
  <si>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</si>
  <si>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</si>
  <si>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</si>
  <si>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</si>
  <si>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</si>
  <si>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</si>
  <si>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</si>
  <si>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</si>
  <si>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</si>
  <si>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</si>
  <si>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</si>
  <si>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</si>
  <si>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</si>
  <si>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</si>
  <si>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</si>
  <si>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</si>
  <si>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</si>
  <si>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</si>
  <si>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</si>
  <si>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</si>
  <si>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</si>
  <si>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</si>
  <si>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</si>
  <si>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</si>
  <si>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</si>
  <si>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</si>
  <si>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</si>
  <si>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</si>
  <si>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</si>
  <si>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</si>
  <si>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</si>
  <si>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</si>
  <si>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</si>
  <si>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</si>
  <si>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</si>
  <si>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</si>
  <si>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</si>
  <si>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</si>
  <si>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</si>
  <si>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</si>
  <si>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</si>
  <si>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</si>
  <si>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</si>
  <si>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</si>
  <si>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</si>
  <si>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</si>
  <si>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</si>
  <si>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</si>
  <si>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</si>
  <si>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</si>
  <si>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</si>
  <si>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</si>
  <si>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</si>
  <si>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</si>
  <si>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</si>
  <si>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</si>
  <si>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</si>
  <si>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</si>
  <si>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</si>
  <si>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</si>
  <si>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</si>
  <si>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</si>
  <si>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</si>
  <si>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</si>
  <si>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</si>
  <si>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</si>
  <si>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</si>
  <si>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</si>
  <si>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</si>
  <si>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</si>
  <si>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</si>
  <si>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</si>
  <si>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</si>
  <si>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</si>
  <si>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</si>
  <si>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</si>
  <si>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</si>
  <si>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</si>
  <si>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</si>
  <si>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</si>
  <si>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</si>
  <si>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</si>
  <si>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</si>
  <si>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</si>
  <si>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</si>
  <si>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</si>
  <si>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</si>
  <si>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</si>
  <si>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</si>
  <si>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</si>
  <si>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</si>
  <si>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</si>
  <si>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</si>
  <si>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</si>
  <si>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</si>
  <si>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</si>
  <si>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</si>
  <si>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</si>
  <si>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</si>
  <si>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</si>
  <si>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</si>
  <si>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</si>
  <si>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</si>
  <si>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</si>
  <si>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</si>
  <si>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</si>
  <si>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</si>
  <si>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</si>
  <si>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</si>
  <si>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</si>
  <si>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</si>
  <si>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</si>
  <si>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</si>
  <si>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</si>
  <si>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</si>
  <si>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</si>
  <si>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</si>
  <si>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</si>
  <si>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</si>
  <si>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</si>
  <si>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</si>
  <si>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</si>
  <si>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</si>
  <si>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</si>
  <si>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</si>
  <si>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</si>
  <si>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</si>
  <si>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</si>
  <si>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</si>
  <si>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</si>
  <si>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</si>
  <si>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</si>
  <si>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</si>
  <si>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</si>
  <si>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</si>
  <si>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</si>
  <si>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</si>
  <si>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</si>
  <si>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</si>
  <si>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</si>
  <si>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</si>
  <si>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</si>
  <si>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</si>
  <si>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</si>
  <si>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</si>
  <si>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</si>
  <si>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</si>
  <si>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</si>
  <si>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</si>
  <si>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</si>
  <si>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</si>
  <si>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</si>
  <si>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</si>
  <si>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</si>
  <si>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</si>
  <si>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</si>
  <si>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</si>
  <si>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</si>
  <si>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</si>
  <si>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</si>
  <si>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</si>
  <si>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</si>
  <si>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</si>
  <si>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</si>
  <si>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</si>
  <si>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</si>
  <si>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</si>
  <si>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</si>
  <si>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</si>
  <si>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</si>
  <si>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</si>
  <si>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</si>
  <si>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</si>
  <si>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</si>
  <si>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</si>
  <si>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</si>
  <si>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</si>
  <si>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</si>
  <si>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</si>
  <si>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</si>
  <si>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</si>
  <si>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</si>
  <si>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</si>
  <si>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</si>
  <si>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</si>
  <si>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</si>
  <si>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</si>
  <si>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</si>
  <si>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</si>
  <si>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</si>
  <si>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</si>
  <si>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</si>
  <si>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</si>
  <si>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</si>
  <si>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</si>
  <si>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</si>
  <si>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</si>
  <si>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</si>
  <si>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</si>
  <si>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</si>
  <si>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</si>
  <si>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</si>
  <si>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</si>
  <si>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</si>
  <si>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</si>
  <si>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</si>
  <si>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</si>
  <si>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</si>
  <si>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</si>
  <si>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</si>
  <si>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</si>
  <si>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</si>
  <si>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</si>
  <si>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</si>
  <si>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</si>
  <si>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</si>
  <si>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</si>
  <si>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</si>
  <si>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</si>
  <si>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</si>
  <si>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</si>
  <si>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</si>
  <si>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</si>
  <si>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</si>
  <si>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</si>
  <si>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</si>
  <si>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</si>
  <si>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</si>
  <si>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</si>
  <si>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</si>
  <si>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</si>
  <si>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</si>
  <si>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</si>
  <si>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</si>
  <si>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</si>
  <si>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</si>
  <si>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</si>
  <si>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</si>
  <si>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</si>
  <si>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</si>
  <si>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</si>
  <si>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</si>
  <si>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</si>
  <si>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</si>
  <si>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</si>
  <si>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</si>
  <si>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</si>
  <si>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</si>
  <si>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</si>
  <si>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</si>
  <si>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</si>
  <si>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</si>
  <si>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</si>
  <si>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</si>
  <si>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</si>
  <si>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</si>
  <si>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</si>
  <si>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</si>
  <si>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</si>
  <si>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</si>
  <si>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</si>
  <si>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</si>
  <si>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</si>
  <si>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</si>
  <si>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</si>
  <si>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</si>
  <si>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</si>
  <si>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</si>
  <si>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</si>
  <si>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</si>
  <si>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</si>
  <si>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</si>
  <si>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</si>
  <si>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</si>
  <si>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</si>
  <si>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</si>
  <si>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</si>
  <si>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</si>
  <si>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</si>
  <si>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</si>
  <si>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</si>
  <si>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</si>
  <si>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</si>
  <si>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</si>
  <si>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</si>
  <si>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</si>
  <si>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</si>
  <si>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</si>
  <si>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</si>
  <si>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</si>
  <si>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</si>
  <si>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</si>
  <si>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</si>
  <si>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</si>
  <si>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</si>
  <si>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</si>
  <si>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</si>
  <si>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</si>
  <si>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</si>
  <si>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</si>
  <si>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</si>
  <si>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</si>
  <si>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</si>
  <si>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</si>
  <si>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</si>
  <si>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</si>
  <si>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</si>
  <si>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</si>
  <si>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</si>
  <si>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</si>
  <si>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</si>
  <si>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</si>
  <si>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</si>
  <si>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</si>
  <si>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</si>
  <si>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</si>
  <si>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</si>
  <si>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</si>
  <si>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</si>
  <si>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</si>
  <si>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</si>
  <si>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</si>
  <si>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</si>
  <si>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</si>
  <si>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</si>
  <si>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</si>
  <si>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</si>
  <si>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</si>
  <si>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</si>
  <si>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</si>
  <si>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</si>
  <si>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</si>
  <si>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</si>
  <si>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</si>
  <si>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</si>
  <si>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</si>
  <si>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</si>
  <si>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</si>
  <si>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</si>
  <si>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</si>
  <si>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</si>
  <si>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</si>
  <si>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</si>
  <si>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</si>
  <si>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</si>
  <si>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</si>
  <si>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</si>
  <si>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</si>
  <si>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</si>
  <si>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</si>
  <si>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</si>
  <si>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</si>
  <si>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</si>
  <si>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</si>
  <si>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</si>
  <si>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</si>
  <si>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</si>
  <si>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</si>
  <si>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</si>
  <si>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</si>
  <si>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</si>
  <si>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</si>
  <si>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</si>
  <si>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</si>
  <si>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</si>
  <si>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</si>
  <si>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</si>
  <si>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</si>
  <si>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</si>
  <si>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</si>
  <si>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</si>
  <si>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</si>
  <si>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</si>
  <si>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</si>
  <si>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</si>
  <si>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</si>
  <si>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</si>
  <si>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</si>
  <si>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</si>
  <si>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</si>
  <si>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</si>
  <si>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</si>
  <si>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</si>
  <si>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</si>
  <si>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</si>
  <si>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</si>
  <si>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</si>
  <si>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</si>
  <si>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</si>
  <si>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</si>
  <si>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</si>
  <si>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</si>
  <si>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</si>
  <si>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</si>
  <si>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</si>
  <si>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</si>
  <si>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</si>
  <si>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</si>
  <si>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</si>
  <si>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</si>
  <si>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</si>
  <si>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</si>
  <si>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</si>
  <si>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</si>
  <si>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</si>
  <si>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</si>
  <si>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</si>
  <si>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</si>
  <si>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</si>
  <si>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</si>
  <si>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</si>
  <si>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</si>
  <si>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</si>
  <si>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</si>
  <si>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</si>
  <si>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</si>
  <si>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</si>
  <si>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</si>
  <si>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</si>
  <si>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</si>
  <si>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</si>
  <si>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</si>
  <si>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</si>
  <si>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</si>
  <si>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</si>
  <si>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</si>
  <si>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</si>
  <si>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</si>
  <si>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</si>
  <si>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</si>
  <si>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</si>
  <si>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</si>
  <si>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</si>
  <si>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</si>
  <si>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</si>
  <si>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</si>
  <si>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</si>
  <si>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</si>
  <si>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</si>
  <si>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</si>
  <si>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</si>
  <si>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</si>
  <si>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</si>
  <si>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</si>
  <si>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</si>
  <si>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</si>
  <si>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</si>
  <si>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</si>
  <si>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</si>
  <si>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</si>
  <si>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</si>
  <si>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</si>
  <si>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</si>
  <si>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</si>
  <si>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</si>
  <si>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</si>
  <si>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</si>
  <si>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</si>
  <si>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</si>
  <si>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</si>
  <si>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</si>
  <si>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</si>
  <si>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</si>
  <si>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</si>
  <si>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</si>
  <si>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</si>
  <si>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</si>
  <si>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</si>
  <si>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</si>
  <si>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</si>
  <si>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</si>
  <si>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</si>
  <si>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</si>
  <si>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</si>
  <si>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</si>
  <si>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</si>
  <si>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</si>
  <si>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</si>
  <si>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</si>
  <si>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</si>
  <si>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</si>
  <si>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</si>
  <si>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</si>
  <si>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</si>
  <si>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</si>
  <si>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</si>
  <si>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</si>
  <si>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</si>
  <si>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</si>
  <si>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</si>
  <si>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</si>
  <si>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</si>
  <si>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</si>
  <si>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</si>
  <si>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</si>
  <si>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</si>
  <si>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</si>
  <si>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</si>
  <si>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</si>
  <si>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</si>
  <si>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</si>
  <si>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</si>
  <si>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</si>
  <si>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</si>
  <si>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</si>
  <si>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</si>
  <si>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</si>
  <si>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</si>
  <si>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</si>
  <si>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</si>
  <si>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</si>
  <si>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</si>
  <si>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</si>
  <si>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</si>
  <si>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</si>
  <si>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</si>
  <si>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</si>
  <si>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</si>
  <si>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</si>
  <si>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</si>
  <si>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</si>
  <si>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</si>
  <si>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</si>
  <si>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</si>
  <si>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</si>
  <si>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</si>
  <si>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</si>
  <si>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</si>
  <si>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</si>
  <si>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</si>
  <si>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</si>
  <si>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</si>
  <si>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</si>
  <si>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</si>
  <si>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</si>
  <si>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</si>
  <si>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</si>
  <si>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</si>
  <si>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</si>
  <si>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</si>
  <si>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</si>
  <si>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</si>
  <si>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</si>
  <si>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</si>
  <si>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</si>
  <si>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</si>
  <si>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</si>
  <si>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</si>
  <si>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</si>
  <si>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</si>
  <si>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</si>
  <si>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</si>
  <si>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</si>
  <si>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</si>
  <si>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</si>
  <si>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</si>
  <si>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</si>
  <si>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</si>
  <si>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</si>
  <si>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</si>
  <si>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</si>
  <si>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</si>
  <si>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</si>
  <si>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</si>
  <si>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</si>
  <si>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</si>
  <si>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</si>
  <si>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</si>
  <si>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</si>
  <si>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</si>
  <si>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</si>
  <si>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</si>
  <si>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</si>
  <si>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</si>
  <si>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</si>
  <si>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</si>
  <si>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</si>
  <si>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</si>
  <si>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</si>
  <si>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</si>
  <si>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</si>
  <si>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</si>
  <si>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</si>
  <si>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</si>
  <si>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</si>
  <si>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</si>
  <si>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</si>
  <si>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</si>
  <si>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</si>
  <si>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</si>
  <si>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</si>
  <si>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</si>
  <si>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</si>
  <si>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</si>
  <si>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</si>
  <si>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</si>
  <si>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</si>
  <si>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</si>
  <si>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</si>
  <si>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</si>
  <si>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</si>
  <si>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</si>
  <si>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</si>
  <si>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</si>
  <si>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</si>
  <si>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</si>
  <si>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</si>
  <si>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</si>
  <si>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</si>
  <si>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</si>
  <si>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</si>
  <si>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</si>
  <si>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</si>
  <si>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</si>
  <si>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</si>
  <si>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</si>
  <si>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</si>
  <si>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</si>
  <si>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</si>
  <si>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</si>
  <si>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</si>
  <si>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</si>
  <si>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</si>
  <si>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</si>
  <si>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</si>
  <si>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</si>
  <si>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</si>
  <si>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</si>
  <si>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</si>
  <si>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</si>
  <si>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</si>
  <si>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</si>
  <si>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</si>
  <si>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</si>
  <si>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</si>
  <si>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</si>
  <si>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</si>
  <si>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</si>
  <si>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</si>
  <si>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</si>
  <si>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</si>
  <si>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</si>
  <si>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</si>
  <si>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</si>
  <si>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</si>
  <si>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</si>
  <si>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</si>
  <si>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</si>
  <si>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</si>
  <si>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</si>
  <si>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</si>
  <si>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</si>
  <si>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</si>
  <si>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</si>
  <si>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</si>
  <si>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</si>
  <si>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</si>
  <si>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</si>
  <si>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</si>
  <si>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</si>
  <si>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</si>
  <si>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</si>
  <si>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</si>
  <si>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</si>
  <si>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</si>
  <si>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</si>
  <si>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</si>
  <si>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</si>
  <si>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</si>
  <si>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</si>
  <si>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</si>
  <si>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</si>
  <si>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</si>
  <si>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</si>
  <si>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</si>
  <si>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</si>
  <si>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</si>
  <si>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</si>
  <si>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</si>
  <si>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</si>
  <si>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</si>
  <si>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</si>
  <si>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</si>
  <si>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</si>
  <si>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</si>
  <si>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</si>
  <si>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</si>
  <si>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</si>
  <si>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</si>
  <si>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</si>
  <si>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</si>
  <si>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</si>
  <si>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</si>
  <si>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</si>
  <si>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</si>
  <si>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</si>
  <si>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</si>
  <si>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</si>
  <si>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</si>
  <si>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</si>
  <si>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</si>
  <si>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</si>
  <si>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</si>
  <si>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</si>
  <si>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</si>
  <si>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</si>
  <si>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</si>
  <si>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</si>
  <si>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</si>
  <si>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</si>
  <si>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</si>
  <si>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</si>
  <si>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</si>
  <si>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</si>
  <si>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</si>
  <si>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</si>
  <si>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</si>
  <si>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</si>
  <si>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</si>
  <si>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</si>
  <si>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</si>
  <si>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</si>
  <si>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</si>
  <si>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</si>
  <si>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</si>
  <si>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</si>
  <si>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</si>
  <si>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</si>
  <si>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</si>
  <si>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</si>
  <si>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</si>
  <si>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</si>
  <si>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</si>
  <si>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</si>
  <si>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</si>
  <si>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</si>
  <si>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</si>
  <si>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</si>
  <si>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</si>
  <si>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</si>
  <si>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</si>
  <si>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</si>
  <si>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</si>
  <si>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</si>
  <si>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</si>
  <si>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</si>
  <si>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</si>
  <si>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</si>
  <si>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</si>
  <si>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</si>
  <si>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</si>
  <si>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</si>
  <si>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</si>
  <si>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</si>
  <si>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</si>
  <si>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</si>
  <si>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</si>
  <si>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</si>
  <si>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</si>
  <si>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</si>
  <si>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</si>
  <si>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</si>
  <si>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</si>
  <si>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</si>
  <si>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</si>
  <si>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</si>
  <si>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</si>
  <si>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</si>
  <si>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</si>
  <si>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</si>
  <si>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</si>
  <si>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</si>
  <si>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</si>
  <si>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</si>
  <si>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</si>
  <si>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</si>
  <si>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</si>
  <si>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</si>
  <si>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</si>
  <si>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</si>
  <si>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</si>
  <si>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</si>
  <si>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</si>
  <si>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</si>
  <si>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</si>
  <si>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</si>
  <si>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</si>
  <si>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</si>
  <si>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</si>
  <si>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</si>
  <si>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</si>
  <si>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</si>
  <si>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</si>
  <si>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</si>
  <si>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</si>
  <si>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</si>
  <si>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</si>
  <si>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</si>
  <si>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</si>
  <si>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</si>
  <si>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</si>
  <si>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</si>
  <si>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</si>
  <si>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</si>
  <si>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</si>
  <si>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</si>
  <si>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</si>
  <si>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</si>
  <si>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</si>
  <si>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</si>
  <si>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</si>
  <si>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</si>
  <si>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</si>
  <si>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</si>
  <si>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</si>
  <si>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</si>
  <si>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</si>
  <si>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</si>
  <si>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</si>
  <si>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</si>
  <si>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</si>
  <si>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</si>
  <si>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</si>
  <si>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</si>
  <si>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</si>
  <si>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</si>
  <si>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</si>
  <si>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</si>
  <si>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</si>
  <si>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</si>
  <si>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</si>
  <si>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</si>
  <si>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</si>
  <si>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</si>
  <si>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</si>
  <si>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</si>
  <si>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</si>
  <si>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</si>
  <si>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</si>
  <si>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</si>
  <si>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</si>
  <si>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</si>
  <si>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</si>
  <si>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</si>
  <si>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</si>
  <si>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</si>
  <si>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</si>
  <si>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</si>
  <si>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</si>
  <si>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</si>
  <si>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</si>
  <si>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</si>
  <si>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</si>
  <si>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</si>
  <si>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</si>
  <si>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</si>
  <si>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</si>
  <si>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</si>
  <si>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</si>
  <si>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</si>
  <si>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</si>
  <si>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</si>
  <si>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</si>
  <si>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</si>
  <si>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</si>
  <si>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</si>
  <si>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</si>
  <si>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</si>
  <si>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</si>
  <si>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</si>
  <si>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</si>
  <si>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</si>
  <si>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</si>
  <si>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</si>
  <si>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</si>
  <si>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</si>
  <si>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</si>
  <si>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</si>
  <si>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</si>
  <si>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</si>
  <si>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</si>
  <si>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</si>
  <si>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</si>
  <si>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</si>
  <si>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</si>
  <si>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</si>
  <si>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</si>
  <si>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</si>
  <si>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</si>
  <si>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</si>
  <si>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</si>
  <si>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</si>
  <si>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</si>
  <si>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</si>
  <si>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</si>
  <si>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</si>
  <si>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</si>
  <si>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</si>
  <si>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</si>
  <si>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</si>
  <si>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</si>
  <si>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</si>
  <si>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</si>
  <si>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</si>
  <si>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</si>
  <si>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</si>
  <si>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</si>
  <si>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</si>
  <si>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</si>
  <si>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</si>
  <si>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</si>
  <si>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</si>
  <si>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</si>
  <si>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</si>
  <si>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</si>
  <si>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</si>
  <si>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</si>
  <si>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</si>
  <si>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</si>
  <si>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</si>
  <si>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</si>
  <si>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</si>
  <si>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</si>
  <si>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</si>
  <si>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</si>
  <si>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</si>
  <si>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</si>
  <si>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</si>
  <si>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</si>
  <si>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</si>
  <si>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</si>
  <si>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</si>
  <si>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</si>
  <si>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</si>
  <si>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</si>
  <si>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</si>
  <si>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</si>
  <si>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</si>
  <si>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</si>
  <si>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</si>
  <si>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</si>
  <si>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</si>
  <si>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</si>
  <si>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</si>
  <si>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</si>
  <si>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</si>
  <si>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</si>
  <si>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</si>
  <si>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</si>
  <si>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</si>
  <si>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</si>
  <si>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</si>
  <si>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</si>
  <si>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</si>
  <si>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</si>
  <si>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</si>
  <si>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</si>
  <si>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</si>
  <si>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</si>
  <si>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</si>
  <si>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</si>
  <si>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</si>
  <si>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</si>
  <si>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</si>
  <si>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</si>
  <si>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</si>
  <si>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</si>
  <si>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</si>
  <si>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</si>
  <si>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</si>
  <si>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</si>
  <si>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</si>
  <si>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</si>
  <si>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</si>
  <si>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</si>
  <si>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</si>
  <si>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</si>
  <si>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</si>
  <si>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</si>
  <si>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</si>
  <si>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</si>
  <si>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</si>
  <si>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</si>
  <si>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</si>
  <si>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</si>
  <si>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</si>
  <si>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</si>
  <si>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</si>
  <si>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</si>
  <si>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</si>
  <si>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</si>
  <si>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</si>
  <si>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</si>
  <si>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</si>
  <si>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</si>
  <si>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</si>
  <si>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</si>
  <si>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</si>
  <si>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</si>
  <si>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</si>
  <si>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</si>
  <si>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</si>
  <si>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</si>
  <si>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</si>
  <si>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</si>
  <si>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</si>
  <si>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</si>
  <si>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</si>
  <si>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</si>
  <si>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</si>
  <si>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</si>
  <si>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</si>
  <si>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</si>
  <si>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</si>
  <si>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</si>
  <si>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</si>
  <si>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</si>
  <si>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</si>
  <si>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</si>
  <si>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</si>
  <si>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</si>
  <si>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</si>
  <si>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</si>
  <si>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</si>
  <si>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</si>
  <si>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</si>
  <si>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</si>
  <si>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</si>
  <si>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</si>
  <si>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</si>
  <si>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</si>
  <si>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</si>
  <si>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</si>
  <si>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</si>
  <si>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</si>
  <si>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</si>
  <si>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</si>
  <si>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</si>
  <si>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</si>
  <si>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</si>
  <si>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</si>
  <si>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</si>
  <si>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</si>
  <si>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</si>
  <si>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</si>
  <si>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</si>
  <si>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</si>
  <si>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</si>
  <si>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</si>
  <si>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</si>
  <si>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</si>
  <si>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</si>
  <si>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</si>
  <si>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</si>
  <si>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</si>
  <si>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</si>
  <si>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</si>
  <si>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</si>
  <si>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</si>
  <si>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</si>
  <si>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</si>
  <si>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</si>
  <si>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</si>
  <si>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</si>
  <si>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</si>
  <si>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</si>
  <si>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</si>
  <si>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</si>
  <si>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</si>
  <si>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</si>
  <si>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</si>
  <si>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</si>
  <si>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</si>
  <si>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</si>
  <si>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</si>
  <si>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</si>
  <si>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</si>
  <si>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</si>
  <si>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</si>
  <si>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</si>
  <si>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</si>
  <si>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</si>
  <si>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</si>
  <si>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</si>
  <si>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</si>
  <si>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</si>
  <si>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</si>
  <si>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</si>
  <si>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</si>
  <si>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</si>
  <si>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</si>
  <si>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</si>
  <si>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</si>
  <si>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</si>
  <si>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</si>
  <si>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</si>
  <si>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</si>
  <si>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</si>
  <si>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</si>
  <si>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</si>
  <si>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</si>
  <si>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</si>
  <si>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</si>
  <si>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</si>
  <si>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</si>
  <si>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</si>
  <si>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</si>
  <si>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</si>
  <si>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</si>
  <si>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</si>
  <si>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</si>
  <si>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</si>
  <si>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</si>
  <si>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</si>
  <si>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</si>
  <si>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</si>
  <si>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</si>
  <si>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</si>
  <si>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</si>
  <si>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</si>
  <si>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</si>
  <si>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</si>
  <si>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</si>
  <si>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</si>
  <si>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</si>
  <si>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</si>
  <si>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</si>
  <si>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</si>
  <si>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</si>
  <si>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</si>
  <si>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</si>
  <si>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</si>
  <si>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</si>
  <si>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</si>
  <si>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</si>
  <si>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</si>
  <si>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</si>
  <si>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</si>
  <si>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</si>
  <si>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</si>
  <si>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</si>
  <si>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</si>
  <si>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</si>
  <si>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</si>
  <si>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</si>
  <si>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</si>
  <si>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</si>
  <si>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</si>
  <si>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</si>
  <si>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</si>
  <si>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</si>
  <si>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</si>
  <si>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</si>
  <si>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</si>
  <si>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</si>
  <si>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</si>
  <si>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</si>
  <si>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</si>
  <si>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</si>
  <si>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</si>
  <si>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</si>
  <si>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</si>
  <si>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</si>
  <si>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</si>
  <si>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</si>
  <si>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</si>
  <si>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</si>
  <si>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</si>
  <si>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</si>
  <si>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</si>
  <si>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</si>
  <si>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</si>
  <si>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</si>
  <si>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</si>
  <si>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</si>
  <si>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</si>
  <si>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</si>
  <si>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</si>
  <si>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</si>
  <si>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</si>
  <si>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</si>
  <si>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</si>
  <si>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</si>
  <si>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</si>
  <si>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</si>
  <si>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</si>
  <si>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</si>
  <si>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</si>
  <si>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</si>
  <si>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</si>
  <si>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</si>
  <si>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</si>
  <si>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</si>
  <si>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</si>
  <si>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</si>
  <si>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</si>
  <si>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</si>
  <si>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</si>
  <si>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</si>
  <si>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</si>
  <si>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</si>
  <si>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</si>
  <si>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</si>
  <si>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</si>
  <si>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</si>
  <si>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</si>
  <si>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</si>
  <si>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</si>
  <si>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</si>
  <si>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</si>
  <si>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</si>
  <si>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</si>
  <si>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</si>
  <si>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</si>
  <si>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</si>
  <si>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</si>
  <si>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</si>
  <si>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</si>
  <si>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</si>
  <si>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</si>
  <si>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</si>
  <si>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</si>
  <si>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</si>
  <si>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</si>
  <si>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</si>
  <si>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</si>
  <si>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</si>
  <si>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</si>
  <si>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</si>
  <si>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</si>
  <si>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</si>
  <si>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</si>
  <si>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</si>
  <si>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</si>
  <si>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</si>
  <si>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</si>
  <si>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</si>
  <si>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</si>
  <si>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</si>
  <si>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</si>
  <si>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</si>
  <si>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</si>
  <si>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</si>
  <si>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</si>
  <si>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</si>
  <si>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</si>
  <si>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</si>
  <si>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</si>
  <si>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</si>
  <si>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</si>
  <si>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</si>
  <si>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</si>
  <si>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</si>
  <si>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</si>
  <si>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</si>
  <si>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</si>
  <si>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</si>
  <si>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</si>
  <si>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</si>
  <si>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</si>
  <si>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</si>
  <si>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</si>
  <si>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</si>
  <si>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</si>
  <si>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</si>
  <si>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</si>
  <si>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</si>
  <si>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</si>
  <si>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</si>
  <si>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</si>
  <si>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</si>
  <si>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</si>
  <si>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</si>
  <si>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</si>
  <si>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</si>
  <si>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</si>
  <si>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</si>
  <si>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</si>
  <si>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</si>
  <si>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</si>
  <si>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</si>
  <si>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</si>
  <si>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</si>
  <si>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</si>
  <si>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</si>
  <si>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</si>
  <si>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</si>
  <si>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</si>
  <si>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</si>
  <si>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</si>
  <si>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</si>
  <si>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</si>
  <si>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</si>
  <si>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</si>
  <si>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</si>
  <si>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</si>
  <si>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</si>
  <si>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</si>
  <si>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</si>
  <si>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</si>
  <si>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</si>
  <si>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</si>
  <si>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</si>
  <si>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</si>
  <si>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</si>
  <si>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</si>
  <si>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</si>
  <si>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</si>
  <si>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</si>
  <si>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</si>
  <si>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</si>
  <si>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</si>
  <si>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</si>
  <si>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</si>
  <si>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</si>
  <si>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</si>
  <si>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</si>
  <si>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</si>
  <si>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</si>
  <si>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</si>
  <si>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</si>
  <si>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</si>
  <si>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</si>
  <si>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</si>
  <si>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</si>
  <si>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</si>
  <si>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</si>
  <si>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</si>
  <si>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</si>
  <si>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</si>
  <si>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</si>
  <si>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</si>
  <si>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</si>
  <si>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</si>
  <si>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</si>
  <si>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</si>
  <si>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</si>
  <si>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</si>
  <si>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</si>
  <si>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</si>
  <si>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</si>
  <si>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</si>
  <si>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</si>
  <si>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</si>
  <si>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</si>
  <si>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</si>
  <si>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</si>
  <si>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</si>
  <si>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</si>
  <si>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</si>
  <si>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</si>
  <si>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</si>
  <si>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</si>
  <si>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</si>
  <si>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</si>
  <si>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</si>
  <si>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</si>
  <si>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</si>
  <si>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</si>
  <si>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</si>
  <si>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</si>
  <si>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</si>
  <si>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</si>
  <si>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</si>
  <si>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</si>
  <si>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</si>
  <si>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</si>
  <si>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</si>
  <si>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</si>
  <si>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</si>
  <si>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</si>
  <si>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</si>
  <si>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</si>
  <si>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</si>
  <si>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</si>
  <si>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</si>
  <si>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</si>
  <si>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</si>
  <si>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</si>
  <si>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</si>
  <si>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</si>
  <si>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</si>
  <si>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</si>
  <si>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</si>
  <si>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</si>
  <si>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</si>
  <si>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</si>
  <si>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</si>
  <si>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</si>
  <si>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</si>
  <si>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</si>
  <si>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</si>
  <si>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</si>
  <si>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</si>
  <si>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</si>
  <si>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</si>
  <si>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</si>
  <si>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</si>
  <si>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</si>
  <si>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</si>
  <si>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</si>
  <si>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</si>
  <si>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</si>
  <si>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</si>
  <si>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</si>
  <si>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</si>
  <si>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</si>
  <si>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</si>
  <si>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</si>
  <si>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</si>
  <si>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</si>
  <si>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</si>
  <si>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</si>
  <si>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</si>
  <si>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</si>
  <si>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</si>
  <si>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</si>
  <si>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</si>
  <si>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</si>
  <si>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</si>
  <si>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</si>
  <si>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</si>
  <si>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</si>
  <si>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</si>
  <si>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</si>
  <si>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</si>
  <si>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</si>
  <si>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</si>
  <si>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</si>
  <si>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</si>
  <si>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</si>
  <si>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</si>
  <si>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</si>
  <si>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</si>
  <si>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</si>
  <si>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</si>
  <si>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</si>
  <si>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</si>
  <si>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</si>
  <si>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</si>
  <si>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</si>
  <si>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</si>
  <si>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</si>
  <si>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</si>
  <si>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</si>
  <si>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</si>
  <si>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</si>
  <si>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</si>
  <si>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</si>
  <si>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</si>
  <si>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</si>
  <si>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</si>
  <si>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</si>
  <si>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</si>
  <si>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</si>
  <si>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</si>
  <si>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</si>
  <si>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</si>
  <si>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</si>
  <si>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</si>
  <si>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</si>
  <si>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</si>
  <si>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</si>
  <si>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</si>
  <si>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</si>
  <si>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</si>
  <si>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</si>
  <si>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</si>
  <si>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</si>
  <si>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</si>
  <si>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</si>
  <si>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</si>
  <si>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</si>
  <si>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</si>
  <si>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</si>
  <si>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</si>
  <si>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</si>
  <si>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</si>
  <si>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</si>
  <si>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</si>
  <si>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</si>
  <si>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</si>
  <si>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</si>
  <si>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</si>
  <si>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</si>
  <si>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</si>
  <si>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</si>
  <si>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</si>
  <si>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</si>
  <si>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</si>
  <si>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</si>
  <si>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</si>
  <si>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</si>
  <si>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</si>
  <si>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</si>
  <si>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</si>
  <si>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</si>
  <si>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</si>
  <si>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</si>
  <si>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</si>
  <si>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</si>
  <si>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</si>
  <si>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</si>
  <si>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</si>
  <si>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</si>
  <si>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</si>
  <si>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</si>
  <si>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</si>
  <si>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</si>
  <si>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</si>
  <si>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</si>
  <si>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</si>
  <si>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</si>
  <si>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</si>
  <si>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</si>
  <si>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</si>
  <si>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</si>
  <si>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</si>
  <si>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</si>
  <si>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</si>
  <si>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</si>
  <si>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</si>
  <si>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</si>
  <si>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</si>
  <si>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</si>
  <si>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</si>
  <si>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</si>
  <si>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</si>
  <si>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</si>
  <si>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</si>
  <si>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</si>
  <si>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</si>
  <si>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</si>
  <si>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</si>
  <si>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</si>
  <si>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</si>
  <si>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</si>
  <si>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</si>
  <si>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</si>
  <si>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</si>
  <si>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</si>
  <si>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</si>
  <si>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</si>
  <si>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</si>
  <si>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</si>
  <si>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</si>
  <si>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</si>
  <si>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</si>
  <si>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</si>
  <si>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</si>
  <si>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</si>
  <si>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</si>
  <si>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</si>
  <si>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</si>
  <si>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</si>
  <si>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</si>
  <si>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</si>
  <si>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</si>
  <si>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</si>
  <si>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</si>
  <si>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</si>
  <si>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</si>
  <si>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</si>
  <si>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</si>
  <si>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</si>
  <si>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</si>
  <si>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</si>
  <si>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</si>
  <si>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</si>
  <si>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</si>
  <si>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</si>
  <si>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</si>
  <si>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</si>
  <si>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</si>
  <si>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</si>
  <si>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</si>
  <si>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</si>
  <si>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</si>
  <si>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</si>
  <si>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</si>
  <si>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</si>
  <si>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</si>
  <si>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</si>
  <si>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</si>
  <si>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</si>
  <si>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</si>
  <si>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</si>
  <si>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</si>
  <si>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</si>
  <si>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</si>
  <si>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</si>
  <si>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</si>
  <si>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</si>
  <si>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</si>
  <si>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</si>
  <si>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</si>
  <si>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</si>
  <si>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</si>
  <si>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</si>
  <si>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</si>
  <si>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</si>
  <si>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</si>
  <si>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</si>
  <si>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</si>
  <si>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</si>
  <si>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</si>
  <si>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</si>
  <si>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</si>
  <si>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</si>
  <si>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</si>
  <si>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</si>
  <si>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</si>
  <si>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</si>
  <si>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</si>
  <si>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</si>
  <si>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</si>
  <si>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</si>
  <si>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</si>
  <si>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</si>
  <si>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</si>
  <si>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</si>
  <si>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</si>
  <si>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</si>
  <si>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</si>
  <si>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</si>
  <si>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</si>
  <si>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</si>
  <si>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</si>
  <si>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</si>
  <si>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</si>
  <si>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</si>
  <si>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</si>
  <si>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</si>
  <si>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</si>
  <si>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</si>
  <si>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</si>
  <si>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</si>
  <si>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</si>
  <si>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</si>
  <si>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</si>
  <si>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</si>
  <si>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</si>
  <si>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</si>
  <si>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</si>
  <si>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</si>
  <si>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</si>
  <si>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</si>
  <si>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</si>
  <si>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</si>
  <si>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</si>
  <si>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</si>
  <si>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</si>
  <si>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</si>
  <si>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</si>
  <si>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</si>
  <si>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</si>
  <si>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</si>
  <si>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</si>
  <si>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</si>
  <si>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</si>
  <si>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</si>
  <si>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</si>
  <si>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</si>
  <si>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</si>
  <si>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</si>
  <si>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</si>
  <si>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</si>
  <si>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</si>
  <si>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</si>
  <si>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</si>
  <si>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</si>
  <si>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</si>
  <si>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</si>
  <si>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</si>
  <si>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</si>
  <si>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</si>
  <si>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</si>
  <si>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</si>
  <si>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</si>
  <si>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</si>
  <si>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</si>
  <si>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</si>
  <si>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</si>
  <si>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</si>
  <si>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</si>
  <si>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</si>
  <si>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</si>
  <si>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</si>
  <si>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</si>
  <si>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</si>
  <si>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</si>
  <si>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</si>
  <si>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</si>
  <si>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</si>
  <si>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</si>
  <si>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</si>
  <si>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</si>
  <si>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</si>
  <si>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</si>
  <si>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</si>
  <si>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</si>
  <si>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</si>
  <si>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</si>
  <si>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</si>
  <si>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</si>
  <si>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</si>
  <si>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</si>
  <si>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</si>
  <si>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</si>
  <si>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</si>
  <si>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</si>
  <si>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</si>
  <si>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</si>
  <si>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</si>
  <si>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</si>
  <si>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</si>
  <si>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</si>
  <si>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</si>
  <si>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</si>
  <si>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</si>
  <si>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</si>
  <si>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</si>
  <si>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</si>
  <si>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</si>
  <si>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</si>
  <si>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</si>
  <si>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</si>
  <si>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</si>
  <si>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</si>
  <si>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</si>
  <si>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</si>
  <si>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</si>
  <si>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</si>
  <si>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</si>
  <si>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</si>
  <si>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</si>
  <si>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</si>
  <si>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</si>
  <si>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</si>
  <si>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</si>
  <si>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</si>
  <si>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</si>
  <si>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</si>
  <si>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</si>
  <si>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</si>
  <si>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</si>
  <si>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</si>
  <si>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</si>
  <si>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</si>
  <si>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</si>
  <si>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</si>
  <si>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</si>
  <si>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</si>
  <si>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</si>
  <si>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</si>
  <si>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</si>
  <si>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</si>
  <si>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</si>
  <si>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</si>
  <si>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</si>
  <si>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</si>
  <si>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</si>
  <si>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</si>
  <si>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</si>
  <si>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</si>
  <si>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</si>
  <si>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</si>
  <si>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</si>
  <si>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</si>
  <si>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</si>
  <si>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</si>
  <si>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</si>
  <si>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</si>
  <si>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</si>
  <si>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</si>
  <si>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</si>
  <si>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</si>
  <si>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</si>
  <si>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</si>
  <si>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</si>
  <si>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</si>
  <si>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</si>
  <si>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</si>
  <si>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</si>
  <si>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</si>
  <si>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</si>
  <si>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</si>
  <si>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</si>
  <si>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</si>
  <si>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</si>
  <si>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</si>
  <si>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</si>
  <si>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</si>
  <si>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</si>
  <si>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</si>
  <si>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</si>
  <si>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</si>
  <si>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</si>
  <si>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</si>
  <si>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</si>
  <si>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</si>
  <si>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</si>
  <si>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</si>
  <si>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</si>
  <si>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</si>
  <si>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</si>
  <si>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</si>
  <si>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</si>
  <si>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</si>
  <si>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</si>
  <si>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</si>
  <si>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</si>
  <si>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</si>
  <si>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</si>
  <si>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</si>
  <si>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</si>
  <si>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</si>
  <si>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</si>
  <si>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</si>
  <si>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</si>
  <si>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</si>
  <si>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</si>
  <si>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</si>
  <si>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</si>
  <si>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</si>
  <si>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</si>
  <si>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</si>
  <si>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</si>
  <si>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</si>
  <si>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</si>
  <si>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</si>
  <si>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</si>
  <si>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</si>
  <si>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</si>
  <si>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</si>
  <si>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</si>
  <si>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</si>
  <si>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</si>
  <si>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</si>
  <si>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</si>
  <si>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</si>
  <si>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</si>
  <si>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</si>
  <si>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</si>
  <si>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</si>
  <si>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</si>
  <si>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</si>
  <si>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</si>
  <si>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</si>
  <si>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</si>
  <si>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</si>
  <si>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</si>
  <si>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</si>
  <si>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</si>
  <si>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</si>
  <si>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</si>
  <si>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</si>
  <si>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</si>
  <si>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</si>
  <si>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</si>
  <si>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</si>
  <si>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</si>
  <si>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</si>
  <si>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</si>
  <si>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</si>
  <si>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</si>
  <si>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</si>
  <si>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</si>
  <si>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</si>
  <si>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</si>
  <si>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</si>
  <si>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</si>
  <si>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</si>
  <si>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</si>
  <si>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</si>
  <si>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</si>
  <si>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</si>
  <si>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</si>
  <si>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</si>
  <si>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</si>
  <si>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</si>
  <si>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</si>
  <si>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</si>
  <si>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</si>
  <si>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</si>
  <si>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</si>
  <si>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</si>
  <si>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</si>
  <si>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</si>
  <si>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</si>
  <si>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</si>
  <si>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</si>
  <si>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</si>
  <si>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</si>
  <si>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</si>
  <si>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</si>
  <si>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</si>
  <si>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</si>
  <si>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</si>
  <si>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</si>
  <si>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</si>
  <si>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</si>
  <si>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</si>
  <si>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</si>
  <si>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</si>
  <si>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</si>
  <si>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</si>
  <si>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</si>
  <si>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</si>
  <si>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</si>
  <si>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</si>
  <si>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</si>
  <si>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</si>
  <si>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</si>
  <si>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</si>
  <si>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</si>
  <si>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</si>
  <si>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</si>
  <si>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</si>
  <si>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</si>
  <si>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</si>
  <si>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</si>
  <si>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</si>
  <si>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</si>
  <si>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</si>
  <si>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</si>
  <si>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</si>
  <si>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</si>
  <si>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</si>
  <si>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</si>
  <si>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</si>
  <si>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</si>
  <si>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</si>
  <si>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</si>
  <si>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</si>
  <si>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</si>
  <si>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</si>
  <si>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</si>
  <si>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</si>
  <si>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</si>
  <si>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</si>
  <si>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</si>
  <si>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</si>
  <si>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</si>
  <si>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</si>
  <si>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</si>
  <si>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</si>
  <si>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</si>
  <si>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</si>
  <si>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</si>
  <si>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</si>
  <si>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</si>
  <si>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</si>
  <si>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</si>
  <si>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</si>
  <si>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</si>
  <si>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</si>
  <si>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</si>
  <si>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</si>
  <si>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</si>
  <si>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</si>
  <si>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</si>
  <si>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</si>
  <si>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</si>
  <si>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</si>
  <si>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</si>
  <si>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</si>
  <si>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</si>
  <si>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</si>
  <si>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</si>
  <si>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</si>
  <si>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</si>
  <si>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</si>
  <si>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</si>
  <si>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</si>
  <si>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</si>
  <si>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</si>
  <si>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</si>
  <si>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</si>
  <si>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</si>
  <si>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</si>
  <si>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</si>
  <si>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</si>
  <si>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</si>
  <si>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</si>
  <si>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</si>
  <si>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</si>
  <si>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</si>
  <si>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</si>
  <si>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</si>
  <si>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</si>
  <si>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</si>
  <si>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</si>
  <si>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</si>
  <si>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</si>
  <si>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</si>
  <si>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</si>
  <si>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</si>
  <si>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</si>
  <si>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</si>
  <si>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</si>
  <si>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</si>
  <si>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</si>
  <si>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</si>
  <si>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</si>
  <si>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</si>
  <si>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</si>
  <si>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</si>
  <si>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</si>
  <si>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</si>
  <si>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</si>
  <si>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</si>
  <si>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</si>
  <si>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</si>
  <si>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</si>
  <si>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</si>
  <si>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</si>
  <si>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</si>
  <si>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</si>
  <si>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</si>
  <si>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</si>
  <si>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</si>
  <si>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</si>
  <si>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</si>
  <si>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</si>
  <si>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</si>
  <si>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</si>
  <si>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</si>
  <si>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</si>
  <si>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</si>
  <si>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</si>
  <si>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</si>
  <si>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</si>
  <si>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</si>
  <si>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</si>
  <si>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</si>
  <si>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</si>
  <si>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</si>
  <si>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</si>
  <si>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</si>
  <si>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</si>
  <si>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</si>
  <si>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</si>
  <si>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</si>
  <si>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</si>
  <si>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</si>
  <si>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</si>
  <si>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</si>
  <si>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</si>
  <si>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</si>
  <si>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</si>
  <si>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</si>
  <si>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</si>
  <si>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</si>
  <si>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</si>
  <si>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</si>
  <si>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</si>
  <si>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</si>
  <si>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</si>
  <si>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</si>
  <si>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</si>
  <si>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</si>
  <si>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</si>
  <si>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</si>
  <si>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</si>
  <si>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</si>
  <si>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</si>
  <si>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</si>
  <si>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</si>
  <si>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</si>
  <si>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</si>
  <si>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</si>
  <si>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</si>
  <si>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</si>
  <si>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</si>
  <si>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</si>
  <si>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</si>
  <si>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</si>
  <si>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</si>
  <si>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</si>
  <si>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</si>
  <si>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</si>
  <si>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</si>
  <si>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</si>
  <si>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</si>
  <si>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</si>
  <si>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</si>
  <si>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</si>
  <si>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</si>
  <si>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</si>
  <si>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</si>
  <si>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</si>
  <si>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</si>
  <si>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</si>
  <si>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</si>
  <si>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</si>
  <si>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</si>
  <si>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</si>
  <si>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</si>
  <si>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</si>
  <si>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</si>
  <si>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</si>
  <si>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</si>
  <si>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</si>
  <si>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</si>
  <si>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</si>
  <si>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</si>
  <si>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</si>
  <si>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</si>
  <si>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</si>
  <si>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</si>
  <si>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</si>
  <si>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</si>
  <si>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</si>
  <si>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</si>
  <si>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</si>
  <si>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</si>
  <si>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</si>
  <si>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</si>
  <si>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</si>
  <si>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</si>
  <si>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</si>
  <si>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</si>
  <si>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</si>
  <si>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</si>
  <si>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</si>
  <si>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</si>
  <si>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</si>
  <si>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</si>
  <si>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</si>
  <si>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</si>
  <si>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</si>
  <si>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</si>
  <si>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</si>
  <si>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</si>
  <si>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</si>
  <si>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</si>
  <si>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</si>
  <si>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</si>
  <si>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</si>
  <si>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</si>
  <si>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</si>
  <si>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</si>
  <si>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</si>
  <si>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</si>
  <si>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</si>
  <si>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</si>
  <si>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</si>
  <si>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</si>
  <si>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</si>
  <si>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</si>
  <si>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</si>
  <si>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</si>
  <si>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</si>
  <si>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</si>
  <si>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</si>
  <si>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</si>
  <si>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</si>
  <si>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</si>
  <si>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</si>
  <si>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</si>
  <si>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</si>
  <si>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</si>
  <si>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</si>
  <si>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</si>
  <si>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</si>
  <si>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</si>
  <si>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</si>
  <si>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</si>
  <si>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</si>
  <si>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</si>
  <si>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</si>
  <si>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</si>
  <si>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</si>
  <si>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</si>
  <si>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</si>
  <si>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</si>
  <si>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</si>
  <si>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</si>
  <si>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</si>
  <si>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</si>
  <si>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</si>
  <si>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</si>
  <si>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</si>
  <si>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</si>
  <si>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</si>
  <si>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</si>
  <si>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</si>
  <si>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</si>
  <si>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</si>
  <si>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</si>
  <si>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</si>
  <si>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</si>
  <si>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</si>
  <si>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</si>
  <si>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</si>
  <si>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</si>
  <si>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</si>
  <si>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</si>
  <si>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</si>
  <si>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</si>
  <si>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</si>
  <si>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</si>
  <si>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</si>
  <si>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</si>
  <si>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</si>
  <si>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</si>
  <si>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</si>
  <si>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</si>
  <si>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</si>
  <si>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</si>
  <si>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</si>
  <si>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</si>
  <si>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</si>
  <si>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</si>
  <si>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</si>
  <si>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</si>
  <si>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</si>
  <si>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</si>
  <si>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</si>
  <si>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</si>
  <si>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</si>
  <si>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</si>
  <si>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</si>
  <si>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</si>
  <si>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</si>
  <si>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</si>
  <si>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</si>
  <si>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</si>
  <si>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</si>
  <si>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</si>
  <si>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</si>
  <si>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</si>
  <si>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</si>
  <si>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</si>
  <si>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</si>
  <si>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</si>
  <si>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</si>
  <si>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</si>
  <si>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</si>
  <si>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</si>
  <si>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</si>
  <si>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</si>
  <si>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</si>
  <si>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</si>
  <si>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</si>
  <si>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</si>
  <si>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</si>
  <si>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</si>
  <si>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</si>
  <si>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</si>
  <si>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</si>
  <si>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</si>
  <si>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</si>
  <si>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</si>
  <si>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</si>
  <si>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</si>
  <si>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</si>
  <si>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</si>
  <si>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</si>
  <si>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</si>
  <si>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</si>
  <si>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</si>
  <si>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</si>
  <si>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</si>
  <si>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</si>
  <si>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</si>
  <si>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</si>
  <si>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</si>
  <si>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</si>
  <si>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</si>
  <si>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</si>
  <si>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</si>
  <si>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</si>
  <si>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</si>
  <si>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</si>
  <si>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</si>
  <si>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</si>
  <si>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</si>
  <si>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</si>
  <si>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</si>
  <si>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</si>
  <si>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</si>
  <si>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</si>
  <si>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</si>
  <si>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</si>
  <si>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</si>
  <si>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</si>
  <si>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</si>
  <si>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</si>
  <si>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</si>
  <si>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</si>
  <si>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</si>
  <si>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</si>
  <si>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</si>
  <si>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</si>
  <si>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</si>
  <si>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</si>
  <si>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</si>
  <si>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</si>
  <si>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</si>
  <si>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</si>
  <si>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</si>
  <si>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</si>
  <si>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</si>
  <si>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</si>
  <si>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</si>
  <si>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</si>
  <si>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</si>
  <si>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</si>
  <si>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</si>
  <si>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</si>
  <si>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</si>
  <si>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</si>
  <si>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</si>
  <si>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</si>
  <si>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</si>
  <si>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</si>
  <si>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</si>
  <si>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</si>
  <si>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</si>
  <si>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</si>
  <si>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</si>
  <si>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</si>
  <si>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</si>
  <si>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</si>
  <si>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</si>
  <si>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</si>
  <si>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</si>
  <si>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</si>
  <si>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</si>
  <si>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</si>
  <si>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</si>
  <si>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</si>
  <si>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</si>
  <si>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</si>
  <si>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</si>
  <si>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</si>
  <si>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</si>
  <si>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</si>
  <si>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</si>
  <si>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</si>
  <si>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</si>
  <si>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</si>
  <si>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</si>
  <si>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</si>
  <si>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</si>
  <si>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</si>
  <si>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</si>
  <si>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</si>
  <si>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</si>
  <si>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</si>
  <si>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</si>
  <si>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</si>
  <si>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</si>
  <si>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</si>
  <si>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</si>
  <si>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</si>
  <si>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</si>
  <si>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</si>
  <si>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</si>
  <si>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</si>
  <si>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</si>
  <si>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</si>
  <si>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</si>
  <si>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</si>
  <si>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</si>
  <si>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</si>
  <si>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</si>
  <si>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</si>
  <si>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</si>
  <si>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</si>
  <si>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</si>
  <si>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</si>
  <si>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</si>
  <si>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</si>
  <si>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</si>
  <si>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</si>
  <si>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</si>
  <si>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</si>
  <si>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</si>
  <si>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</si>
  <si>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</si>
  <si>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</si>
  <si>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</si>
  <si>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</si>
  <si>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</si>
  <si>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</si>
  <si>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</si>
  <si>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</si>
  <si>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</si>
  <si>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</si>
  <si>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</si>
  <si>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</si>
  <si>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</si>
  <si>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</si>
  <si>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</si>
  <si>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</si>
  <si>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</si>
  <si>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</si>
  <si>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</si>
  <si>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</si>
  <si>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</si>
  <si>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</si>
  <si>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</si>
  <si>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</si>
  <si>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</si>
  <si>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</si>
  <si>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</si>
  <si>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</si>
  <si>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</si>
  <si>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</si>
  <si>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</si>
  <si>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</si>
  <si>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</si>
  <si>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</si>
  <si>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</si>
  <si>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</si>
  <si>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</si>
  <si>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</si>
  <si>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</si>
  <si>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</si>
  <si>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</si>
  <si>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</si>
  <si>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</si>
  <si>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</si>
  <si>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</si>
  <si>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</si>
  <si>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</si>
  <si>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</si>
  <si>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</si>
  <si>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</si>
  <si>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</si>
  <si>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</si>
  <si>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</si>
  <si>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</si>
  <si>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</si>
  <si>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</si>
  <si>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</si>
  <si>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</si>
  <si>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</si>
  <si>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</si>
  <si>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</si>
  <si>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</si>
  <si>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</si>
  <si>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</si>
  <si>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</si>
  <si>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</si>
  <si>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</si>
  <si>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</si>
  <si>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</si>
  <si>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</si>
  <si>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</si>
  <si>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</si>
  <si>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</si>
  <si>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</si>
  <si>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</si>
  <si>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</si>
  <si>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</si>
  <si>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</si>
  <si>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</si>
  <si>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</si>
  <si>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</si>
  <si>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</si>
  <si>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</si>
  <si>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</si>
  <si>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</si>
  <si>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</si>
  <si>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</si>
  <si>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</si>
  <si>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</si>
  <si>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</si>
  <si>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</si>
  <si>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</si>
  <si>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</si>
  <si>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</si>
  <si>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</si>
  <si>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</si>
  <si>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</si>
  <si>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</si>
  <si>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</si>
  <si>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</si>
  <si>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</si>
  <si>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</si>
  <si>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</si>
  <si>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</si>
  <si>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</si>
  <si>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</si>
  <si>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</si>
  <si>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</si>
  <si>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</si>
  <si>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</si>
  <si>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</si>
  <si>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</si>
  <si>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</si>
  <si>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</si>
  <si>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</si>
  <si>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</si>
  <si>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</si>
  <si>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</si>
  <si>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</si>
  <si>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</si>
  <si>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</si>
  <si>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</si>
  <si>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</si>
  <si>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</si>
  <si>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</si>
  <si>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</si>
  <si>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</si>
  <si>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</si>
  <si>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</si>
  <si>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</si>
  <si>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</si>
  <si>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</si>
  <si>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</si>
  <si>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</si>
  <si>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</si>
  <si>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</si>
  <si>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</si>
  <si>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</si>
  <si>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</si>
  <si>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</si>
  <si>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</si>
  <si>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</si>
  <si>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</si>
  <si>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</si>
  <si>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</si>
  <si>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</si>
  <si>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</si>
  <si>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</si>
  <si>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</si>
  <si>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</si>
  <si>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</si>
  <si>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</si>
  <si>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</si>
  <si>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</si>
  <si>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</si>
  <si>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</si>
  <si>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</si>
  <si>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</si>
  <si>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</si>
  <si>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</si>
  <si>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</si>
  <si>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</si>
  <si>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</si>
  <si>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</si>
  <si>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</si>
  <si>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</si>
  <si>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</si>
  <si>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</si>
  <si>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</si>
  <si>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</si>
  <si>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</si>
  <si>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</si>
  <si>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</si>
  <si>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</si>
  <si>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</si>
  <si>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</si>
  <si>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</si>
  <si>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</si>
  <si>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</si>
  <si>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</si>
  <si>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</si>
  <si>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</si>
  <si>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</si>
  <si>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</si>
  <si>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</si>
  <si>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</si>
  <si>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</si>
  <si>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</si>
  <si>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</si>
  <si>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</si>
  <si>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</si>
  <si>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</si>
  <si>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</si>
  <si>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</si>
  <si>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</si>
  <si>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</si>
  <si>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</si>
  <si>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</si>
  <si>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</si>
  <si>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</si>
  <si>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</si>
  <si>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</si>
  <si>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</si>
  <si>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</si>
  <si>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</si>
  <si>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</si>
  <si>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</si>
  <si>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</si>
  <si>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</si>
  <si>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</si>
  <si>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</si>
  <si>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</si>
  <si>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</si>
  <si>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</si>
  <si>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</si>
  <si>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</si>
  <si>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</si>
  <si>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</si>
  <si>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</si>
  <si>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</si>
  <si>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</si>
  <si>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</si>
  <si>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</si>
  <si>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</si>
  <si>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</si>
  <si>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</si>
  <si>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</si>
  <si>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</si>
  <si>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</si>
  <si>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</si>
  <si>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</si>
  <si>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</si>
  <si>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</si>
  <si>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</si>
  <si>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</si>
  <si>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</si>
  <si>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</si>
  <si>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</si>
  <si>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</si>
  <si>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</si>
  <si>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</si>
  <si>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</si>
  <si>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</si>
  <si>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</si>
  <si>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</si>
  <si>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</si>
  <si>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</si>
  <si>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</si>
  <si>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</si>
  <si>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</si>
  <si>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</si>
  <si>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</si>
  <si>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</si>
  <si>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</si>
  <si>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</si>
  <si>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</si>
  <si>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</si>
  <si>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</si>
  <si>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</si>
  <si>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</si>
  <si>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</si>
  <si>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</si>
  <si>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</si>
  <si>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</si>
  <si>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</si>
  <si>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</si>
  <si>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</si>
  <si>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</si>
  <si>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</si>
  <si>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</si>
  <si>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</si>
  <si>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</si>
  <si>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</si>
  <si>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</si>
  <si>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</si>
  <si>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</si>
  <si>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</si>
  <si>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</si>
  <si>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</si>
  <si>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</si>
  <si>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</si>
  <si>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</si>
  <si>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</si>
  <si>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</si>
  <si>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</si>
  <si>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</si>
  <si>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</si>
  <si>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</si>
  <si>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</si>
  <si>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</si>
  <si>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</si>
  <si>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</si>
  <si>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</si>
  <si>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</si>
  <si>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</si>
  <si>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</si>
  <si>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</si>
  <si>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</si>
  <si>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</si>
  <si>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</si>
  <si>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</si>
  <si>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</si>
  <si>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</si>
  <si>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</si>
  <si>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</si>
  <si>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</si>
  <si>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</si>
  <si>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</si>
  <si>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</si>
  <si>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</si>
  <si>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</si>
  <si>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</si>
  <si>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</si>
  <si>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</si>
  <si>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</si>
  <si>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</si>
  <si>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</si>
  <si>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</si>
  <si>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</si>
  <si>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</si>
  <si>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</si>
  <si>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</si>
  <si>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</si>
  <si>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</si>
  <si>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</si>
  <si>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</si>
  <si>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</si>
  <si>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</si>
  <si>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</si>
  <si>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</si>
  <si>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</si>
  <si>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</si>
  <si>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</si>
  <si>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</si>
  <si>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</si>
  <si>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</si>
  <si>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</si>
  <si>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</si>
  <si>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</si>
  <si>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</si>
  <si>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</si>
  <si>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</si>
  <si>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</si>
  <si>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</si>
  <si>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</si>
  <si>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</si>
  <si>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</si>
  <si>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</si>
  <si>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</si>
  <si>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</si>
  <si>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</si>
  <si>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</si>
  <si>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</si>
  <si>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</si>
  <si>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</si>
  <si>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</si>
  <si>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</si>
  <si>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</si>
  <si>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</si>
  <si>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</si>
  <si>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</si>
  <si>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</si>
  <si>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</si>
  <si>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</si>
  <si>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</si>
  <si>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</si>
  <si>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</si>
  <si>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</si>
  <si>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</si>
  <si>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</si>
  <si>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</si>
  <si>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</si>
  <si>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</si>
  <si>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</si>
  <si>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</si>
  <si>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</si>
  <si>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</si>
  <si>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</si>
  <si>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</si>
  <si>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</si>
  <si>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</si>
  <si>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</si>
  <si>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</si>
  <si>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</si>
  <si>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</si>
  <si>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</si>
  <si>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</si>
  <si>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</si>
  <si>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</si>
  <si>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</si>
  <si>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</si>
  <si>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</si>
  <si>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</si>
  <si>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</si>
  <si>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</si>
  <si>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</si>
  <si>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</si>
  <si>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</si>
  <si>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</si>
  <si>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</si>
  <si>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</si>
  <si>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</si>
  <si>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</si>
  <si>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</si>
  <si>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</si>
  <si>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</si>
  <si>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</si>
  <si>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</si>
  <si>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</si>
  <si>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</si>
  <si>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</si>
  <si>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</si>
  <si>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</si>
  <si>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</si>
  <si>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</si>
  <si>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</si>
  <si>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</si>
  <si>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</si>
  <si>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</si>
  <si>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</si>
  <si>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</si>
  <si>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</si>
  <si>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</si>
  <si>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</si>
  <si>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</si>
  <si>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</si>
  <si>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</si>
  <si>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</si>
  <si>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</si>
  <si>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</si>
  <si>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</si>
  <si>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</si>
  <si>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</si>
  <si>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</si>
  <si>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</si>
  <si>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</si>
  <si>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</si>
  <si>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</si>
  <si>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</si>
  <si>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</si>
  <si>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</si>
  <si>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</si>
  <si>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</si>
  <si>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</si>
  <si>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</si>
  <si>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</si>
  <si>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</si>
  <si>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</si>
  <si>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</si>
  <si>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</si>
  <si>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</si>
  <si>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</si>
  <si>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</si>
  <si>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</si>
  <si>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</si>
  <si>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</si>
  <si>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</si>
  <si>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</si>
  <si>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</si>
  <si>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</si>
  <si>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</si>
  <si>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</si>
  <si>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</si>
  <si>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</si>
  <si>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</si>
  <si>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</si>
  <si>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</si>
  <si>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</si>
  <si>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</si>
  <si>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</si>
  <si>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</si>
  <si>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</si>
  <si>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</si>
  <si>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</si>
  <si>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</si>
  <si>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</si>
  <si>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</si>
  <si>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</si>
  <si>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</si>
  <si>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</si>
  <si>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</si>
  <si>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</si>
  <si>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</si>
  <si>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</si>
  <si>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</si>
  <si>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</si>
  <si>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</si>
  <si>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</si>
  <si>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</si>
  <si>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</si>
  <si>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</si>
  <si>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</si>
  <si>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</si>
  <si>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</si>
  <si>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</si>
  <si>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</si>
  <si>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</si>
  <si>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</si>
  <si>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</si>
  <si>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</si>
  <si>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</si>
  <si>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</si>
  <si>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</si>
  <si>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</si>
  <si>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</si>
  <si>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</si>
  <si>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</si>
  <si>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</si>
  <si>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</si>
  <si>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</si>
  <si>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</si>
  <si>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</si>
  <si>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</si>
  <si>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</si>
  <si>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</si>
  <si>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</si>
  <si>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</si>
  <si>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</si>
  <si>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</si>
  <si>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</si>
  <si>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</si>
  <si>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</si>
  <si>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</si>
  <si>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</si>
  <si>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</si>
  <si>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</si>
  <si>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</si>
  <si>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</si>
  <si>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</si>
  <si>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</si>
  <si>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</si>
  <si>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</si>
  <si>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</si>
  <si>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</si>
  <si>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</si>
  <si>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</si>
  <si>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</si>
  <si>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</si>
  <si>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</si>
  <si>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</si>
  <si>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</si>
  <si>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</si>
  <si>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</si>
  <si>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</si>
  <si>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</si>
  <si>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</si>
  <si>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</si>
  <si>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</si>
  <si>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</si>
  <si>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</si>
  <si>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</si>
  <si>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</si>
  <si>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</si>
  <si>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</si>
  <si>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</si>
  <si>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</si>
  <si>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</si>
  <si>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</si>
  <si>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</si>
  <si>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</si>
  <si>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</si>
  <si>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</si>
  <si>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</si>
  <si>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</si>
  <si>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</si>
  <si>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</si>
  <si>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</si>
  <si>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</si>
  <si>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</si>
  <si>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</si>
  <si>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</si>
  <si>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</si>
  <si>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</si>
  <si>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</si>
  <si>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</si>
  <si>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</si>
  <si>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</si>
  <si>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</si>
  <si>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</si>
  <si>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</si>
  <si>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</si>
  <si>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</si>
  <si>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</si>
  <si>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</si>
  <si>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</si>
  <si>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</si>
  <si>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</si>
  <si>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</si>
  <si>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</si>
  <si>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</si>
  <si>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</si>
  <si>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</si>
  <si>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</si>
  <si>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</si>
  <si>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</si>
  <si>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</si>
  <si>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</si>
  <si>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</si>
  <si>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</si>
  <si>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</si>
  <si>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</si>
  <si>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</si>
  <si>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</si>
  <si>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</si>
  <si>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</si>
  <si>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</si>
  <si>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</si>
  <si>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</si>
  <si>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</si>
  <si>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</si>
  <si>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</si>
  <si>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</si>
  <si>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</si>
  <si>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</si>
  <si>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</si>
  <si>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</si>
  <si>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</si>
  <si>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</si>
  <si>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</si>
  <si>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</si>
  <si>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</si>
  <si>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</si>
  <si>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</si>
  <si>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</si>
  <si>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</si>
  <si>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</si>
  <si>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</si>
  <si>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</si>
  <si>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</si>
  <si>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</si>
  <si>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</si>
  <si>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</si>
  <si>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</si>
  <si>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</si>
  <si>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</si>
  <si>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</si>
  <si>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</si>
  <si>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</si>
  <si>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</si>
  <si>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</si>
  <si>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</si>
  <si>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</si>
  <si>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</si>
  <si>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</si>
  <si>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</si>
  <si>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</si>
  <si>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</si>
  <si>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</si>
  <si>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</si>
  <si>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</si>
  <si>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</si>
  <si>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</si>
  <si>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</si>
  <si>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</si>
  <si>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</si>
  <si>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</si>
  <si>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</si>
  <si>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</si>
  <si>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</si>
  <si>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</si>
  <si>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</si>
  <si>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</si>
  <si>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</si>
  <si>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</si>
  <si>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</si>
  <si>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</si>
  <si>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</si>
  <si>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</si>
  <si>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</si>
  <si>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</si>
  <si>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</si>
  <si>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</si>
  <si>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</si>
  <si>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</si>
  <si>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</si>
  <si>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</si>
  <si>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</si>
  <si>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</si>
  <si>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</si>
  <si>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</si>
  <si>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</si>
  <si>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</si>
  <si>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</si>
  <si>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</si>
  <si>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</si>
  <si>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</si>
  <si>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</si>
  <si>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</si>
  <si>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</si>
  <si>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</si>
  <si>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</si>
  <si>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</si>
  <si>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</si>
  <si>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</si>
  <si>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</si>
  <si>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</si>
  <si>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</si>
  <si>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</si>
  <si>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</si>
  <si>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</si>
  <si>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</si>
  <si>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</si>
  <si>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</si>
  <si>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</si>
  <si>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</si>
  <si>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</si>
  <si>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</si>
  <si>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</si>
  <si>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</si>
  <si>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</si>
  <si>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</si>
  <si>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</si>
  <si>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</si>
  <si>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</si>
  <si>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</si>
  <si>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</si>
  <si>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</si>
  <si>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</si>
  <si>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</si>
  <si>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</si>
  <si>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</si>
  <si>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</si>
  <si>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</si>
  <si>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</si>
  <si>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</si>
  <si>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</si>
  <si>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</si>
  <si>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</si>
  <si>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</si>
  <si>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</si>
  <si>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</si>
  <si>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</si>
  <si>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</si>
  <si>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</si>
  <si>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</si>
  <si>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</si>
  <si>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</si>
  <si>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</si>
  <si>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</si>
  <si>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</si>
  <si>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</si>
  <si>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</si>
  <si>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</si>
  <si>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</si>
  <si>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</si>
  <si>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</si>
  <si>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</si>
  <si>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</si>
  <si>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</si>
  <si>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</si>
  <si>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</si>
  <si>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</si>
  <si>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</si>
  <si>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</si>
  <si>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</si>
  <si>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</si>
  <si>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</si>
  <si>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</si>
  <si>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</si>
  <si>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</si>
  <si>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</si>
  <si>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</si>
  <si>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</si>
  <si>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</si>
  <si>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</si>
  <si>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</si>
  <si>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</si>
  <si>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</si>
  <si>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</si>
  <si>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</si>
  <si>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</si>
  <si>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</si>
  <si>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</si>
  <si>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</si>
  <si>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</si>
  <si>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</si>
  <si>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</si>
  <si>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</si>
  <si>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</si>
  <si>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</si>
  <si>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</si>
  <si>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</si>
  <si>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</si>
  <si>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</si>
  <si>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</si>
  <si>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</si>
  <si>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</si>
  <si>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</si>
  <si>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</si>
  <si>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</si>
  <si>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</si>
  <si>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</si>
  <si>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</si>
  <si>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</si>
  <si>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</si>
  <si>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</si>
  <si>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</si>
  <si>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</si>
  <si>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</si>
  <si>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</si>
  <si>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</si>
  <si>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</si>
  <si>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</si>
  <si>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</si>
  <si>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</si>
  <si>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</si>
  <si>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</si>
  <si>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</si>
  <si>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</si>
  <si>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</si>
  <si>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</si>
  <si>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</si>
  <si>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</si>
  <si>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</si>
  <si>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</si>
  <si>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</si>
  <si>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</si>
  <si>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</si>
  <si>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</si>
  <si>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</si>
  <si>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</si>
  <si>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</si>
  <si>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</si>
  <si>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</si>
  <si>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</si>
  <si>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</si>
  <si>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</si>
  <si>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</si>
  <si>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</si>
  <si>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</si>
  <si>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</si>
  <si>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</si>
  <si>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</si>
  <si>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</si>
  <si>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</si>
  <si>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</si>
  <si>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</si>
  <si>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</si>
  <si>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</si>
  <si>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</si>
  <si>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</si>
  <si>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</si>
  <si>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</si>
  <si>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</si>
  <si>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</si>
  <si>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</si>
  <si>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</si>
  <si>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</si>
  <si>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</si>
  <si>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</si>
  <si>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</si>
  <si>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</si>
  <si>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</si>
  <si>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</si>
  <si>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</si>
  <si>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</si>
  <si>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</si>
  <si>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</si>
  <si>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</si>
  <si>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</si>
  <si>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</si>
  <si>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</si>
  <si>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</si>
  <si>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</si>
  <si>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</si>
  <si>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</si>
  <si>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</si>
  <si>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</si>
  <si>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</si>
  <si>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</si>
  <si>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</si>
  <si>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</si>
  <si>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</si>
  <si>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</si>
  <si>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</si>
  <si>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</si>
  <si>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</si>
  <si>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</si>
  <si>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</si>
  <si>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</si>
  <si>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</si>
  <si>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</si>
  <si>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</si>
  <si>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</si>
  <si>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</si>
  <si>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</si>
  <si>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</si>
  <si>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</si>
  <si>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</si>
  <si>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</si>
  <si>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</si>
  <si>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</si>
  <si>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</si>
  <si>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</si>
  <si>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</si>
  <si>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</si>
  <si>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</si>
  <si>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</si>
  <si>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</si>
  <si>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</si>
  <si>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</si>
  <si>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</si>
  <si>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</si>
  <si>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</si>
  <si>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</si>
  <si>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</si>
  <si>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</si>
  <si>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</si>
  <si>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</si>
  <si>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</si>
  <si>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</si>
  <si>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</si>
  <si>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</si>
  <si>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</si>
  <si>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</si>
  <si>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</si>
  <si>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</si>
  <si>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</si>
  <si>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</si>
  <si>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</si>
  <si>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</si>
  <si>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</si>
  <si>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</si>
  <si>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</si>
  <si>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</si>
  <si>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</si>
  <si>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</si>
  <si>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</si>
  <si>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</si>
  <si>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</si>
  <si>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</si>
  <si>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</si>
  <si>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</si>
  <si>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</si>
  <si>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</si>
  <si>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</si>
  <si>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</si>
  <si>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</si>
  <si>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</si>
  <si>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</si>
  <si>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</si>
  <si>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</si>
  <si>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</si>
  <si>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</si>
  <si>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</si>
  <si>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</si>
  <si>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</si>
  <si>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</si>
  <si>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</si>
  <si>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</si>
  <si>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</si>
  <si>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</si>
  <si>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</si>
  <si>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</si>
  <si>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</si>
  <si>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</si>
  <si>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</si>
  <si>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</si>
  <si>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</si>
  <si>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</si>
  <si>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</si>
  <si>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</si>
  <si>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</si>
  <si>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</si>
  <si>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</si>
  <si>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</si>
  <si>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</si>
  <si>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</si>
  <si>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</si>
  <si>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</si>
  <si>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</si>
  <si>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</si>
  <si>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</si>
  <si>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</si>
  <si>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</si>
  <si>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</si>
  <si>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</si>
  <si>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</si>
  <si>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</si>
  <si>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</si>
  <si>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</si>
  <si>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</si>
  <si>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</si>
  <si>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</si>
  <si>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</si>
  <si>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</si>
  <si>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</si>
  <si>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</si>
  <si>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</si>
  <si>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</si>
  <si>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</si>
  <si>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</si>
  <si>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</si>
  <si>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</si>
  <si>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</si>
  <si>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</si>
  <si>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</si>
  <si>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</si>
  <si>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</si>
  <si>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</si>
  <si>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</si>
  <si>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</si>
  <si>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</si>
  <si>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</si>
  <si>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</si>
  <si>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</si>
  <si>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</si>
  <si>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</si>
  <si>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</si>
  <si>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</si>
  <si>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</si>
  <si>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</si>
  <si>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</si>
  <si>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</si>
  <si>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</si>
  <si>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</si>
  <si>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</si>
  <si>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</si>
  <si>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</si>
  <si>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</si>
  <si>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</si>
  <si>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</si>
  <si>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</si>
  <si>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</si>
  <si>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</si>
  <si>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</si>
  <si>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</si>
  <si>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</si>
  <si>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</si>
  <si>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</si>
  <si>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</si>
  <si>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</si>
  <si>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</si>
  <si>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</si>
  <si>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</si>
  <si>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</si>
  <si>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</si>
  <si>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</si>
  <si>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</si>
  <si>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</si>
  <si>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</si>
  <si>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</si>
  <si>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</si>
  <si>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</si>
  <si>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</si>
  <si>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</si>
  <si>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</si>
  <si>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</si>
  <si>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</si>
  <si>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</si>
  <si>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</si>
  <si>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</si>
  <si>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</si>
  <si>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</si>
  <si>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</si>
  <si>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</si>
  <si>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</si>
  <si>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</si>
  <si>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</si>
  <si>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</si>
  <si>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</si>
  <si>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</si>
  <si>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</si>
  <si>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</si>
  <si>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</si>
  <si>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</si>
  <si>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</si>
  <si>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</si>
  <si>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</si>
  <si>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</si>
  <si>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</si>
  <si>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</si>
  <si>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</si>
  <si>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</si>
  <si>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</si>
  <si>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</si>
  <si>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</si>
  <si>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</si>
  <si>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</si>
  <si>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</si>
  <si>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</si>
  <si>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</si>
  <si>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</si>
  <si>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</si>
  <si>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</si>
  <si>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</si>
  <si>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</si>
  <si>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</si>
  <si>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</si>
  <si>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</si>
  <si>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</si>
  <si>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</si>
  <si>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</si>
  <si>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</si>
  <si>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</si>
  <si>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</si>
  <si>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</si>
  <si>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</si>
  <si>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</si>
  <si>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</si>
  <si>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</si>
  <si>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</si>
  <si>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</si>
  <si>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</si>
  <si>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</si>
  <si>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</si>
  <si>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</si>
  <si>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</si>
  <si>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</si>
  <si>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</si>
  <si>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</si>
  <si>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</si>
  <si>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</si>
  <si>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</si>
  <si>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</si>
  <si>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</si>
  <si>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</si>
  <si>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</si>
  <si>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</si>
  <si>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</si>
  <si>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</si>
  <si>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</si>
  <si>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</si>
  <si>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</si>
  <si>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</si>
  <si>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</si>
  <si>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</si>
  <si>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</si>
  <si>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</si>
  <si>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</si>
  <si>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</si>
  <si>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</si>
  <si>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</si>
  <si>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</si>
  <si>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</si>
  <si>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</si>
  <si>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</si>
  <si>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</si>
  <si>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</si>
  <si>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</si>
  <si>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</si>
  <si>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</si>
  <si>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</si>
  <si>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</si>
  <si>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</si>
  <si>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</si>
  <si>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</si>
  <si>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</si>
  <si>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</si>
  <si>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</si>
  <si>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</si>
  <si>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</si>
  <si>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</si>
  <si>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</si>
  <si>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</si>
  <si>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</si>
  <si>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</si>
  <si>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</si>
  <si>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</si>
  <si>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</si>
  <si>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</si>
  <si>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</si>
  <si>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</si>
  <si>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</si>
  <si>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</si>
  <si>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</si>
  <si>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</si>
  <si>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</si>
  <si>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</si>
  <si>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</si>
  <si>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</si>
  <si>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</si>
  <si>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</si>
  <si>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</si>
  <si>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</si>
  <si>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</si>
  <si>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</si>
  <si>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</si>
  <si>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</si>
  <si>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</si>
  <si>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</si>
  <si>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</si>
  <si>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</si>
  <si>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</si>
  <si>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</si>
  <si>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</si>
  <si>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</si>
  <si>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</si>
  <si>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</si>
  <si>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</si>
  <si>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</si>
  <si>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</si>
  <si>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</si>
  <si>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</si>
  <si>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</si>
  <si>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</si>
  <si>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</si>
  <si>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</si>
  <si>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</si>
  <si>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</si>
  <si>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</si>
  <si>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</si>
  <si>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</si>
  <si>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</si>
  <si>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</si>
  <si>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</si>
  <si>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</si>
  <si>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</si>
  <si>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</si>
  <si>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</si>
  <si>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</si>
  <si>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</si>
  <si>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</si>
  <si>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</si>
  <si>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</si>
  <si>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</si>
  <si>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</si>
  <si>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</si>
  <si>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</si>
  <si>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</si>
  <si>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</si>
  <si>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</si>
  <si>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</si>
  <si>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</si>
  <si>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</si>
  <si>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</si>
  <si>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</si>
  <si>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</si>
  <si>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</si>
  <si>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</si>
  <si>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</si>
  <si>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</si>
  <si>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</si>
  <si>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</si>
  <si>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</si>
  <si>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</si>
  <si>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</si>
  <si>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</si>
  <si>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</si>
  <si>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</si>
  <si>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</si>
  <si>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</si>
  <si>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</si>
  <si>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</si>
  <si>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</si>
  <si>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</si>
  <si>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</si>
  <si>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</si>
  <si>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</si>
  <si>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</si>
  <si>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</si>
  <si>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</si>
  <si>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</si>
  <si>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</si>
  <si>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</si>
  <si>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</si>
  <si>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</si>
  <si>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</si>
  <si>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</si>
  <si>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</si>
  <si>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</si>
  <si>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</si>
  <si>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</si>
  <si>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</si>
  <si>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</si>
  <si>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</si>
  <si>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</si>
  <si>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</si>
  <si>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</si>
  <si>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</si>
  <si>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</si>
  <si>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</si>
  <si>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</si>
  <si>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</si>
  <si>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</si>
  <si>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</si>
  <si>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</si>
  <si>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</si>
  <si>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</si>
  <si>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</si>
  <si>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</si>
  <si>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</si>
  <si>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</si>
  <si>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</si>
  <si>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</si>
  <si>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</si>
  <si>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</si>
  <si>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</si>
  <si>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</si>
  <si>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</si>
  <si>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</si>
  <si>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</si>
  <si>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</si>
  <si>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</si>
  <si>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</si>
  <si>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</si>
  <si>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</si>
  <si>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</si>
  <si>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</si>
  <si>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</si>
  <si>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</si>
  <si>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</si>
  <si>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</si>
  <si>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</si>
  <si>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</si>
  <si>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</si>
  <si>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</si>
  <si>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</si>
  <si>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</si>
  <si>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</si>
  <si>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</si>
  <si>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</si>
  <si>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</si>
  <si>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</si>
  <si>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</si>
  <si>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</si>
  <si>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</si>
  <si>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</si>
  <si>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</si>
  <si>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</si>
  <si>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</si>
  <si>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</si>
  <si>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</si>
  <si>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</si>
  <si>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</si>
  <si>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</si>
  <si>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</si>
  <si>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</si>
  <si>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</si>
  <si>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</si>
  <si>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</si>
  <si>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</si>
  <si>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</si>
  <si>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</si>
  <si>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</si>
  <si>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</si>
  <si>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</si>
  <si>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</si>
  <si>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</si>
  <si>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</si>
  <si>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</si>
  <si>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</si>
  <si>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</si>
  <si>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</si>
  <si>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</si>
  <si>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</si>
  <si>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</si>
  <si>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</si>
  <si>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</si>
  <si>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</si>
  <si>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</si>
  <si>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</si>
  <si>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</si>
  <si>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</si>
  <si>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</si>
  <si>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</si>
  <si>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</si>
  <si>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</si>
  <si>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</si>
  <si>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</si>
  <si>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</si>
  <si>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</si>
  <si>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</si>
  <si>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</si>
  <si>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</si>
  <si>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</si>
  <si>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</si>
  <si>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</si>
  <si>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</si>
  <si>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</si>
  <si>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</si>
  <si>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</si>
  <si>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</si>
  <si>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</si>
  <si>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</si>
  <si>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</si>
  <si>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</si>
  <si>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</si>
  <si>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</si>
  <si>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</si>
  <si>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</si>
  <si>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</si>
  <si>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</si>
  <si>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</si>
  <si>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</si>
  <si>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</si>
  <si>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</si>
  <si>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</si>
  <si>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</si>
  <si>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</si>
  <si>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</si>
  <si>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</si>
  <si>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</si>
  <si>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</si>
  <si>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</si>
  <si>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</si>
  <si>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</si>
  <si>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</si>
  <si>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Precious Metal Sales, Inc.</t>
  </si>
  <si>
    <t>100 New Wood Road, Watertown, CT 06795</t>
  </si>
  <si>
    <t>Krista Upson</t>
  </si>
  <si>
    <t>krista@pmsalesinc.com</t>
  </si>
  <si>
    <t>8602748813</t>
  </si>
  <si>
    <t>Anthony Luccaro</t>
  </si>
  <si>
    <t>President</t>
  </si>
  <si>
    <t>here4u@pmsalesinc.com</t>
  </si>
  <si>
    <t xml:space="preserve">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</si>
  <si>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Potassium Gold Cyanide (PGC) is solely manufactured from recycled &amp; scrap sources</t>
  </si>
  <si>
    <t>100%</t>
  </si>
  <si>
    <t>We do require, but not validated by a third party.</t>
  </si>
  <si>
    <t>cid001157</t>
  </si>
  <si>
    <t>255 John L Dietsch Boulevard</t>
  </si>
  <si>
    <t>Samantha McCourt</t>
  </si>
  <si>
    <t>Samantha.McCourt@metalor.com</t>
  </si>
  <si>
    <t>Mining, recycled &amp;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</si>
</sst>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B057FD5-8C6E-4B5C-A8BF-FA94E5D5598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4EC86CA-99A0-4C51-BC5B-F0D12272EE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Description of Scope:</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15882</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15884</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15885</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15886</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15883</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46140</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29"/>
      <c r="H27" s="330"/>
      <c r="I27" s="330"/>
      <c r="J27" s="33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29"/>
      <c r="H39" s="330"/>
      <c r="I39" s="330"/>
      <c r="J39" s="33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29"/>
      <c r="H45" s="330"/>
      <c r="I45" s="330"/>
      <c r="J45" s="33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473</v>
      </c>
      <c r="E46" s="328"/>
      <c r="F46" s="44"/>
      <c r="G46" s="329" t="s">
        <v>15887</v>
      </c>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29" t="s">
        <v>15888</v>
      </c>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15889</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474</v>
      </c>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474</v>
      </c>
      <c r="E79" s="328"/>
      <c r="F79" s="54"/>
      <c r="G79" s="329" t="s">
        <v>15890</v>
      </c>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Yes</v>
      </c>
    </row>
    <row r="101" spans="2:7" ht="15.75" hidden="1">
      <c r="B101" s="219" t="s">
        <v>2371</v>
      </c>
      <c r="D101" s="264" t="str">
        <f>IF(AND(OR($D$27="Yes",$D$27=""),OR($D$33="Yes",$D$33="")),"Unknown","")</f>
        <v/>
      </c>
      <c r="E101" s="264" t="str">
        <f>IF(AND(OR($D$26="Yes",$D$26=""),OR($D$32="Yes",$D$32="")),"None","")</f>
        <v/>
      </c>
      <c r="G101" s="264" t="str">
        <f>IF(OR($D$28="Yes",$D$28=""),"No","")</f>
        <v>No</v>
      </c>
    </row>
    <row r="102" spans="2:7" ht="15.75" hidden="1">
      <c r="B102" s="219" t="s">
        <v>2372</v>
      </c>
      <c r="D102" s="264" t="str">
        <f>IF(AND(OR($D$28="Yes",$D$28=""),OR($D$34="Yes",$D$34="")),"Yes","")</f>
        <v>Yes</v>
      </c>
      <c r="E102" s="264" t="str">
        <f>IF(AND(OR($D$27="Yes",$D$27=""),OR($D$33="Yes",$D$33="")),"100%","")</f>
        <v/>
      </c>
      <c r="G102" s="264" t="str">
        <f>IF(OR($D$29="Yes",$D$29=""),"Yes","")</f>
        <v/>
      </c>
    </row>
    <row r="103" spans="2:7" ht="15.75" hidden="1">
      <c r="B103" s="219" t="s">
        <v>2373</v>
      </c>
      <c r="D103" s="264" t="str">
        <f>IF(AND(OR($D$28="Yes",$D$28=""),OR($D$34="Yes",$D$34="")),"No","")</f>
        <v>No</v>
      </c>
      <c r="E103" s="264" t="str">
        <f>IF(AND(OR($D$27="Yes",$D$27=""),OR($D$33="Yes",$D$33="")),"Greater than 90%","")</f>
        <v/>
      </c>
      <c r="G103" s="264" t="str">
        <f>IF(OR($D$29="Yes",$D$29=""),"No","")</f>
        <v/>
      </c>
    </row>
    <row r="104" spans="2:7" ht="15.75" hidden="1">
      <c r="B104" s="219" t="s">
        <v>476</v>
      </c>
      <c r="D104" s="264" t="str">
        <f>IF(AND(OR($D$28="Yes",$D$28=""),OR($D$34="Yes",$D$34="")),"Unknown","")</f>
        <v>Unknown</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1" zoomScaleNormal="100" zoomScalePageLayoutView="55" workbookViewId="0">
      <selection activeCell="P5" sqref="P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15891</v>
      </c>
      <c r="B5" s="166" t="str">
        <f ca="1">IF(LEN(A5)=0,"",INDEX('Smelter Look-up'!$A:$A,MATCH($A5,'Smelter Look-up'!$E:$E,0)))</f>
        <v>Gold</v>
      </c>
      <c r="C5" s="170" t="str">
        <f ca="1">IF(LEN(A5)=0,"",INDEX('Smelter Look-up'!$C:$C,MATCH($A5,'Smelter Look-up'!$E:$E,0)))</f>
        <v>Metalor USA Refining Corporation</v>
      </c>
      <c r="D5" s="213"/>
      <c r="E5" s="166" t="str">
        <f ca="1">IF(ISERROR($V5),"",OFFSET('Smelter Look-up'!$D$4,$V5-4,0)&amp;"")</f>
        <v>UNITED STATES OF AMERICA</v>
      </c>
      <c r="F5" s="166" t="str">
        <f ca="1">IF(ISERROR($V5),"",OFFSET('Smelter Look-up'!$E$4,$V5-4,0))</f>
        <v>CID001157</v>
      </c>
      <c r="G5" s="166" t="str">
        <f ca="1">IF(C5=$X$4,IF(ISERROR($V5),"Enter smelter details","RMI"),IF(ISERROR($V5),"",OFFSET('Smelter Look-up'!$F$4,$V5-4,0)))</f>
        <v>RMI</v>
      </c>
      <c r="H5" s="167" t="s">
        <v>15892</v>
      </c>
      <c r="I5" s="168" t="str">
        <f ca="1">IF(ISERROR($V5),"",OFFSET('Smelter Look-up'!$H$4,$V5-4,0))</f>
        <v>North Attleboro</v>
      </c>
      <c r="J5" s="168" t="str">
        <f ca="1">IF(ISERROR($V5),"",OFFSET('Smelter Look-up'!$I$4,$V5-4,0))</f>
        <v>Massachusetts</v>
      </c>
      <c r="K5" s="207" t="s">
        <v>15893</v>
      </c>
      <c r="L5" s="207" t="s">
        <v>15894</v>
      </c>
      <c r="M5" s="207"/>
      <c r="N5" s="207" t="s">
        <v>15895</v>
      </c>
      <c r="O5" s="207" t="s">
        <v>15895</v>
      </c>
      <c r="P5" s="169" t="s">
        <v>474</v>
      </c>
      <c r="Q5" s="208"/>
      <c r="R5" s="166" t="str">
        <f ca="1">IF(ISERROR($V5),"",OFFSET('Smelter Look-up'!$C$4,$V5-4,0)&amp;"")</f>
        <v>Metalor USA Refining Corporation</v>
      </c>
      <c r="S5" s="165" t="str">
        <f ca="1">IF(B5="","",IF(ISERROR(MATCH($E5,CL,0)),"Unknown",INDIRECT("'C'!$A$"&amp;MATCH($E5,CL,0)+1)))</f>
        <v>US</v>
      </c>
      <c r="T5" s="165" t="str">
        <f ca="1">IF(B5="","",IF(ISERROR(MATCH($J5,SorP!$B$1:$B$6261,0)),"",INDIRECT("'SorP'!$A$"&amp;MATCH($S5&amp;$J5,SorP!C:C,0))))</f>
        <v>US-MA</v>
      </c>
      <c r="U5" s="185"/>
      <c r="V5" s="209">
        <f ca="1">IF(C5="",NA(),IF(OR(C5="Smelter not listed",C5="Smelter not yet identified"),MATCH($B5&amp;$D5,'Smelter Look-up'!$J:$J,0),MATCH($B5&amp;$C5,'Smelter Look-up'!$J:$J,0)))</f>
        <v>197</v>
      </c>
      <c r="X5" s="210">
        <f t="shared" ref="X5" ca="1" si="0">IF(AND(C5="Smelter not listed",OR(LEN(D5)=0,LEN(E5)=0)),1,0)</f>
        <v>0</v>
      </c>
      <c r="AB5" s="211" t="str">
        <f t="shared" ref="AB5" ca="1" si="1">B5&amp;C5</f>
        <v>GoldMetalor USA Refining Corporation</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0D237F-5F42-42BF-91FD-60FD76B14BB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Precious Metal Sales,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Krista Upson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krista@pmsalesinc.com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8602748813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Anthony Luccaro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here4u@pmsalesinc.com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0</v>
      </c>
      <c r="G66" s="67">
        <f ca="1">IF(AND(COUNTIF(SmelterIdetifiedForMetal,"Tin")&gt;0,COUNTIF('Smelter List'!AB$5:AB$2504,"Tin?*")&gt;0),0,1)</f>
        <v>1</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PM Sales, Inc</cp:lastModifiedBy>
  <cp:lastPrinted>2015-04-21T20:47:43Z</cp:lastPrinted>
  <dcterms:created xsi:type="dcterms:W3CDTF">2010-06-21T21:00:23Z</dcterms:created>
  <dcterms:modified xsi:type="dcterms:W3CDTF">2026-04-28T22:14:36Z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