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Krista\Documents\Documents\Conflict Metals\"/>
    </mc:Choice>
  </mc:AlternateContent>
  <workbookProtection workbookPassword="E31B" lockStructure="1"/>
  <bookViews>
    <workbookView xWindow="0" yWindow="0" windowWidth="23040" windowHeight="9384"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14" i="5"/>
  <c r="C14"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c r="B54" i="6"/>
  <c r="G54" i="6" s="1"/>
  <c r="B53" i="6"/>
  <c r="G53" i="6"/>
  <c r="B50" i="6"/>
  <c r="G50" i="6" s="1"/>
  <c r="H14" i="6"/>
  <c r="H61" i="4"/>
  <c r="B86" i="4"/>
  <c r="F23" i="6"/>
  <c r="B23" i="6" l="1"/>
  <c r="B43" i="6" s="1"/>
  <c r="B38" i="6"/>
  <c r="B33" i="6"/>
  <c r="B28"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13" i="6" l="1"/>
  <c r="C10" i="6"/>
  <c r="C11" i="6"/>
  <c r="C12" i="6"/>
  <c r="C7" i="6"/>
  <c r="C8" i="6"/>
  <c r="C5" i="6"/>
  <c r="C4" i="6"/>
  <c r="B48"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H25" i="6" s="1"/>
  <c r="C25" i="6" s="1"/>
  <c r="F25" i="6"/>
  <c r="B40" i="6"/>
  <c r="G40" i="6" s="1"/>
  <c r="F26" i="6"/>
  <c r="F41" i="6" s="1"/>
  <c r="B30" i="6"/>
  <c r="G30" i="6" s="1"/>
  <c r="B41" i="6"/>
  <c r="F63" i="6"/>
  <c r="F36" i="6"/>
  <c r="G21" i="6"/>
  <c r="H21" i="6" s="1"/>
  <c r="B26" i="6"/>
  <c r="B36" i="6"/>
  <c r="B46" i="6"/>
  <c r="G46" i="6" s="1"/>
  <c r="G31" i="6"/>
  <c r="H22" i="6"/>
  <c r="D22" i="6" s="1"/>
  <c r="G47" i="6"/>
  <c r="G42" i="6"/>
  <c r="G26" i="6"/>
  <c r="H26" i="6" s="1"/>
  <c r="C26" i="6" s="1"/>
  <c r="K65" i="6"/>
  <c r="C65" i="6" s="1"/>
  <c r="G27" i="6"/>
  <c r="G32" i="6"/>
  <c r="G43" i="6"/>
  <c r="G38" i="6"/>
  <c r="G35" i="6"/>
  <c r="G28" i="6"/>
  <c r="G33" i="6"/>
  <c r="G41"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37" i="6" l="1"/>
  <c r="H36" i="6"/>
  <c r="C36" i="6" s="1"/>
  <c r="H42" i="6"/>
  <c r="D42" i="6" s="1"/>
  <c r="H41" i="6"/>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F35" i="6"/>
  <c r="H35" i="6" s="1"/>
  <c r="F30" i="6"/>
  <c r="H30" i="6" s="1"/>
  <c r="H40" i="6"/>
  <c r="D40" i="6" s="1"/>
  <c r="F46" i="6"/>
  <c r="H46" i="6" s="1"/>
  <c r="F31" i="6"/>
  <c r="H31" i="6" s="1"/>
  <c r="D31" i="6" s="1"/>
  <c r="C20" i="6"/>
  <c r="D21" i="6"/>
  <c r="C21" i="6"/>
  <c r="K63" i="6"/>
  <c r="C63" i="6" s="1"/>
  <c r="D26" i="6"/>
  <c r="H32" i="6"/>
  <c r="C32" i="6" s="1"/>
  <c r="C22" i="6"/>
  <c r="C41" i="6"/>
  <c r="D41" i="6"/>
  <c r="F38" i="6"/>
  <c r="H38" i="6" s="1"/>
  <c r="F43" i="6"/>
  <c r="H43" i="6" s="1"/>
  <c r="H28" i="6"/>
  <c r="F65" i="6"/>
  <c r="F33" i="6"/>
  <c r="H33" i="6" s="1"/>
  <c r="F48" i="6"/>
  <c r="H48" i="6" s="1"/>
  <c r="D36" i="6"/>
  <c r="F66" i="6"/>
  <c r="C66" i="6" s="1"/>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2" i="6" l="1"/>
  <c r="C42" i="6"/>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X33" i="5" s="1"/>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E7" i="5"/>
  <c r="F7" i="5"/>
  <c r="R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E9" i="5"/>
  <c r="R9" i="5"/>
  <c r="F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E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R6" i="5"/>
  <c r="F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8" i="5"/>
  <c r="T9" i="5"/>
  <c r="T6" i="5"/>
  <c r="T10" i="5"/>
  <c r="T7" i="5"/>
  <c r="T5" i="5"/>
  <c r="H64" i="6" l="1"/>
  <c r="D64" i="6" s="1"/>
  <c r="C64"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1" i="5"/>
  <c r="S6" i="5"/>
  <c r="S9" i="5"/>
  <c r="S8" i="5"/>
  <c r="S10" i="5"/>
  <c r="S7" i="5"/>
  <c r="S5"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<sst xmlns="http://schemas.openxmlformats.org/spreadsheetml/2006/main" count="21624" uniqueCount="15511">
  <si>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</si>
  <si>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</si>
  <si>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</si>
  <si>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</si>
  <si>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</si>
  <si>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</si>
  <si>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</si>
  <si>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</si>
  <si>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</si>
  <si>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</si>
  <si>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</si>
  <si>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</si>
  <si>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</si>
  <si>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</si>
  <si>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</si>
  <si>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</si>
  <si>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</si>
  <si>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</si>
  <si>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</si>
  <si>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</si>
  <si>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</si>
  <si>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</si>
  <si>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</si>
  <si>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</si>
  <si>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</si>
  <si>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</si>
  <si>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</si>
  <si>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</si>
  <si>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</si>
  <si>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</si>
  <si>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</si>
  <si>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</si>
  <si>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</si>
  <si>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</si>
  <si>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</si>
  <si>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</si>
  <si>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</si>
  <si>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</si>
  <si>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</si>
  <si>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</si>
  <si>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</si>
  <si>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</si>
  <si>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</si>
  <si>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</si>
  <si>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</si>
  <si>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</si>
  <si>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</si>
  <si>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</si>
  <si>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</si>
  <si>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</si>
  <si>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</si>
  <si>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</si>
  <si>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</si>
  <si>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</si>
  <si>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</si>
  <si>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</si>
  <si>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</si>
  <si>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</si>
  <si>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</si>
  <si>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</si>
  <si>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</si>
  <si>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</si>
  <si>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</si>
  <si>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</si>
  <si>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</si>
  <si>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</si>
  <si>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</si>
  <si>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</si>
  <si>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</si>
  <si>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</si>
  <si>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</si>
  <si>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</si>
  <si>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</si>
  <si>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</si>
  <si>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</si>
  <si>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</si>
  <si>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</si>
  <si>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</si>
  <si>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</si>
  <si>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</si>
  <si>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</si>
  <si>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</si>
  <si>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</si>
  <si>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</si>
  <si>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</si>
  <si>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</si>
  <si>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</si>
  <si>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</si>
  <si>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</si>
  <si>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</si>
  <si>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</si>
  <si>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</si>
  <si>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</si>
  <si>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</si>
  <si>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</si>
  <si>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</si>
  <si>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</si>
  <si>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</si>
  <si>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</si>
  <si>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</si>
  <si>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</si>
  <si>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</si>
  <si>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</si>
  <si>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</si>
  <si>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</si>
  <si>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</si>
  <si>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</si>
  <si>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</si>
  <si>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</si>
  <si>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</si>
  <si>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</si>
  <si>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</si>
  <si>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</si>
  <si>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</si>
  <si>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</si>
  <si>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</si>
  <si>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</si>
  <si>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</si>
  <si>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</si>
  <si>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</si>
  <si>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</si>
  <si>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</si>
  <si>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</si>
  <si>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</si>
  <si>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</si>
  <si>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</si>
  <si>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</si>
  <si>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</si>
  <si>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</si>
  <si>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</si>
  <si>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</si>
  <si>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</si>
  <si>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</si>
  <si>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</si>
  <si>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</si>
  <si>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</si>
  <si>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</si>
  <si>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</si>
  <si>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</si>
  <si>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</si>
  <si>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</si>
  <si>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</si>
  <si>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</si>
  <si>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</si>
  <si>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</si>
  <si>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</si>
  <si>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</si>
  <si>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</si>
  <si>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</si>
  <si>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</si>
  <si>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</si>
  <si>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</si>
  <si>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</si>
  <si>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</si>
  <si>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</si>
  <si>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</si>
  <si>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</si>
  <si>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</si>
  <si>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</si>
  <si>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</si>
  <si>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</si>
  <si>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</si>
  <si>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</si>
  <si>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</si>
  <si>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</si>
  <si>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</si>
  <si>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</si>
  <si>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</si>
  <si>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</si>
  <si>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</si>
  <si>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</si>
  <si>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</si>
  <si>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</si>
  <si>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</si>
  <si>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</si>
  <si>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</si>
  <si>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</si>
  <si>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</si>
  <si>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</si>
  <si>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</si>
  <si>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</si>
  <si>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</si>
  <si>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</si>
  <si>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</si>
  <si>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</si>
  <si>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</si>
  <si>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</si>
  <si>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</si>
  <si>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</si>
  <si>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</si>
  <si>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</si>
  <si>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</si>
  <si>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</si>
  <si>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</si>
  <si>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</si>
  <si>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</si>
  <si>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</si>
  <si>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</si>
  <si>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</si>
  <si>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</si>
  <si>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</si>
  <si>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</si>
  <si>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</si>
  <si>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</si>
  <si>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</si>
  <si>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</si>
  <si>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</si>
  <si>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</si>
  <si>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</si>
  <si>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</si>
  <si>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</si>
  <si>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</si>
  <si>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</si>
  <si>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</si>
  <si>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</si>
  <si>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</si>
  <si>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</si>
  <si>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</si>
  <si>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</si>
  <si>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</si>
  <si>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</si>
  <si>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</si>
  <si>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</si>
  <si>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</si>
  <si>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</si>
  <si>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</si>
  <si>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</si>
  <si>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</si>
  <si>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</si>
  <si>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</si>
  <si>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</si>
  <si>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</si>
  <si>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</si>
  <si>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</si>
  <si>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</si>
  <si>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</si>
  <si>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</si>
  <si>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</si>
  <si>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</si>
  <si>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</si>
  <si>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</si>
  <si>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</si>
  <si>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</si>
  <si>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</si>
  <si>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</si>
  <si>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</si>
  <si>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</si>
  <si>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</si>
  <si>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</si>
  <si>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</si>
  <si>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</si>
  <si>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</si>
  <si>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</si>
  <si>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</si>
  <si>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</si>
  <si>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</si>
  <si>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</si>
  <si>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</si>
  <si>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</si>
  <si>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</si>
  <si>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</si>
  <si>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</si>
  <si>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</si>
  <si>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</si>
  <si>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</si>
  <si>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</si>
  <si>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</si>
  <si>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</si>
  <si>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</si>
  <si>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</si>
  <si>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</si>
  <si>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</si>
  <si>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</si>
  <si>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</si>
  <si>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</si>
  <si>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</si>
  <si>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</si>
  <si>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</si>
  <si>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</si>
  <si>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</si>
  <si>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</si>
  <si>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</si>
  <si>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</si>
  <si>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</si>
  <si>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</si>
  <si>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</si>
  <si>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</si>
  <si>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</si>
  <si>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</si>
  <si>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</si>
  <si>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</si>
  <si>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</si>
  <si>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</si>
  <si>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</si>
  <si>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</si>
  <si>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</si>
  <si>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</si>
  <si>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</si>
  <si>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</si>
  <si>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</si>
  <si>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</si>
  <si>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</si>
  <si>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</si>
  <si>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</si>
  <si>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</si>
  <si>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</si>
  <si>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</si>
  <si>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</si>
  <si>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</si>
  <si>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</si>
  <si>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</si>
  <si>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</si>
  <si>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</si>
  <si>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</si>
  <si>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</si>
  <si>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</si>
  <si>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</si>
  <si>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</si>
  <si>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</si>
  <si>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</si>
  <si>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</si>
  <si>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</si>
  <si>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</si>
  <si>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</si>
  <si>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</si>
  <si>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</si>
  <si>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</si>
  <si>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</si>
  <si>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</si>
  <si>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</si>
  <si>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</si>
  <si>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</si>
  <si>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</si>
  <si>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</si>
  <si>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</si>
  <si>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</si>
  <si>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</si>
  <si>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</si>
  <si>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</si>
  <si>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</si>
  <si>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</si>
  <si>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</si>
  <si>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</si>
  <si>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</si>
  <si>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</si>
  <si>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</si>
  <si>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</si>
  <si>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</si>
  <si>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</si>
  <si>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</si>
  <si>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</si>
  <si>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</si>
  <si>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</si>
  <si>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</si>
  <si>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</si>
  <si>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</si>
  <si>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</si>
  <si>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</si>
  <si>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</si>
  <si>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</si>
  <si>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</si>
  <si>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</si>
  <si>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</si>
  <si>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</si>
  <si>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</si>
  <si>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</si>
  <si>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</si>
  <si>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</si>
  <si>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</si>
  <si>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</si>
  <si>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</si>
  <si>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</si>
  <si>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</si>
  <si>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</si>
  <si>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</si>
  <si>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</si>
  <si>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</si>
  <si>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</si>
  <si>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</si>
  <si>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</si>
  <si>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</si>
  <si>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</si>
  <si>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</si>
  <si>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</si>
  <si>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</si>
  <si>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</si>
  <si>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</si>
  <si>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</si>
  <si>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</si>
  <si>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</si>
  <si>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</si>
  <si>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</si>
  <si>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</si>
  <si>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</si>
  <si>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</si>
  <si>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</si>
  <si>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</si>
  <si>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</si>
  <si>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</si>
  <si>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</si>
  <si>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</si>
  <si>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</si>
  <si>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</si>
  <si>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</si>
  <si>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</si>
  <si>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</si>
  <si>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</si>
  <si>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</si>
  <si>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</si>
  <si>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</si>
  <si>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</si>
  <si>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</si>
  <si>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</si>
  <si>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</si>
  <si>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</si>
  <si>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</si>
  <si>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</si>
  <si>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</si>
  <si>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</si>
  <si>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</si>
  <si>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</si>
  <si>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</si>
  <si>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</si>
  <si>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</si>
  <si>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</si>
  <si>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</si>
  <si>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</si>
  <si>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</si>
  <si>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</si>
  <si>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</si>
  <si>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</si>
  <si>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</si>
  <si>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</si>
  <si>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</si>
  <si>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</si>
  <si>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</si>
  <si>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</si>
  <si>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</si>
  <si>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</si>
  <si>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</si>
  <si>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</si>
  <si>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</si>
  <si>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</si>
  <si>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</si>
  <si>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</si>
  <si>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</si>
  <si>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</si>
  <si>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</si>
  <si>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</si>
  <si>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</si>
  <si>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</si>
  <si>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</si>
  <si>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</si>
  <si>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</si>
  <si>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</si>
  <si>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</si>
  <si>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</si>
  <si>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</si>
  <si>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</si>
  <si>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</si>
  <si>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</si>
  <si>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</si>
  <si>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</si>
  <si>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</si>
  <si>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</si>
  <si>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</si>
  <si>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</si>
  <si>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</si>
  <si>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</si>
  <si>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</si>
  <si>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</si>
  <si>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</si>
  <si>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</si>
  <si>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</si>
  <si>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</si>
  <si>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</si>
  <si>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</si>
  <si>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</si>
  <si>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</si>
  <si>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</si>
  <si>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</si>
  <si>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</si>
  <si>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</si>
  <si>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</si>
  <si>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</si>
  <si>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</si>
  <si>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</si>
  <si>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</si>
  <si>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</si>
  <si>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</si>
  <si>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</si>
  <si>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</si>
  <si>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</si>
  <si>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</si>
  <si>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</si>
  <si>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</si>
  <si>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</si>
  <si>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</si>
  <si>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</si>
  <si>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</si>
  <si>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</si>
  <si>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</si>
  <si>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</si>
  <si>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</si>
  <si>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</si>
  <si>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</si>
  <si>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</si>
  <si>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</si>
  <si>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</si>
  <si>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</si>
  <si>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</si>
  <si>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</si>
  <si>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</si>
  <si>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</si>
  <si>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</si>
  <si>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</si>
  <si>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</si>
  <si>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</si>
  <si>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</si>
  <si>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</si>
  <si>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</si>
  <si>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</si>
  <si>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</si>
  <si>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</si>
  <si>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</si>
  <si>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</si>
  <si>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</si>
  <si>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</si>
  <si>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</si>
  <si>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</si>
  <si>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</si>
  <si>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</si>
  <si>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</si>
  <si>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</si>
  <si>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</si>
  <si>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</si>
  <si>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</si>
  <si>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</si>
  <si>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</si>
  <si>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</si>
  <si>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</si>
  <si>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</si>
  <si>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</si>
  <si>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</si>
  <si>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</si>
  <si>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</si>
  <si>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</si>
  <si>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</si>
  <si>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</si>
  <si>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</si>
  <si>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</si>
  <si>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</si>
  <si>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</si>
  <si>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</si>
  <si>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</si>
  <si>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</si>
  <si>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</si>
  <si>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</si>
  <si>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</si>
  <si>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</si>
  <si>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</si>
  <si>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</si>
  <si>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</si>
  <si>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</si>
  <si>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</si>
  <si>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</si>
  <si>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</si>
  <si>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</si>
  <si>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</si>
  <si>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</si>
  <si>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</si>
  <si>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</si>
  <si>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</si>
  <si>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</si>
  <si>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</si>
  <si>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</si>
  <si>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</si>
  <si>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</si>
  <si>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</si>
  <si>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</si>
  <si>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</si>
  <si>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</si>
  <si>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</si>
  <si>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</si>
  <si>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</si>
  <si>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</si>
  <si>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</si>
  <si>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</si>
  <si>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</si>
  <si>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</si>
  <si>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</si>
  <si>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</si>
  <si>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</si>
  <si>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</si>
  <si>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</si>
  <si>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</si>
  <si>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</si>
  <si>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</si>
  <si>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</si>
  <si>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</si>
  <si>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</si>
  <si>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</si>
  <si>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</si>
  <si>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</si>
  <si>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</si>
  <si>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</si>
  <si>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</si>
  <si>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</si>
  <si>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</si>
  <si>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</si>
  <si>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</si>
  <si>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</si>
  <si>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</si>
  <si>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</si>
  <si>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</si>
  <si>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</si>
  <si>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</si>
  <si>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</si>
  <si>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</si>
  <si>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</si>
  <si>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</si>
  <si>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</si>
  <si>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</si>
  <si>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</si>
  <si>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</si>
  <si>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</si>
  <si>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</si>
  <si>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</si>
  <si>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</si>
  <si>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</si>
  <si>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</si>
  <si>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</si>
  <si>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</si>
  <si>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</si>
  <si>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</si>
  <si>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</si>
  <si>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</si>
  <si>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</si>
  <si>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</si>
  <si>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</si>
  <si>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</si>
  <si>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</si>
  <si>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</si>
  <si>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</si>
  <si>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</si>
  <si>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</si>
  <si>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</si>
  <si>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</si>
  <si>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</si>
  <si>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</si>
  <si>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</si>
  <si>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</si>
  <si>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</si>
  <si>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</si>
  <si>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</si>
  <si>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</si>
  <si>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</si>
  <si>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</si>
  <si>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</si>
  <si>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</si>
  <si>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</si>
  <si>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</si>
  <si>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</si>
  <si>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</si>
  <si>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</si>
  <si>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</si>
  <si>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</si>
  <si>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</si>
  <si>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</si>
  <si>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</si>
  <si>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</si>
  <si>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</si>
  <si>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</si>
  <si>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</si>
  <si>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</si>
  <si>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</si>
  <si>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</si>
  <si>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</si>
  <si>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</si>
  <si>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</si>
  <si>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</si>
  <si>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</si>
  <si>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</si>
  <si>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</si>
  <si>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</si>
  <si>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</si>
  <si>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</si>
  <si>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</si>
  <si>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</si>
  <si>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</si>
  <si>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</si>
  <si>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</si>
  <si>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</si>
  <si>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</si>
  <si>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</si>
  <si>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</si>
  <si>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</si>
  <si>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</si>
  <si>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</si>
  <si>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</si>
  <si>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</si>
  <si>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</si>
  <si>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</si>
  <si>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</si>
  <si>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</si>
  <si>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</si>
  <si>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</si>
  <si>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</si>
  <si>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</si>
  <si>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</si>
  <si>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</si>
  <si>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</si>
  <si>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</si>
  <si>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</si>
  <si>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</si>
  <si>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</si>
  <si>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</si>
  <si>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</si>
  <si>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</si>
  <si>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</si>
  <si>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</si>
  <si>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</si>
  <si>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</si>
  <si>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</si>
  <si>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</si>
  <si>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</si>
  <si>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</si>
  <si>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</si>
  <si>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</si>
  <si>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</si>
  <si>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</si>
  <si>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</si>
  <si>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</si>
  <si>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</si>
  <si>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</si>
  <si>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</si>
  <si>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</si>
  <si>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</si>
  <si>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</si>
  <si>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</si>
  <si>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</si>
  <si>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</si>
  <si>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</si>
  <si>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</si>
  <si>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</si>
  <si>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</si>
  <si>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</si>
  <si>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</si>
  <si>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</si>
  <si>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</si>
  <si>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</si>
  <si>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</si>
  <si>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</si>
  <si>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</si>
  <si>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</si>
  <si>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</si>
  <si>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</si>
  <si>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</si>
  <si>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</si>
  <si>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</si>
  <si>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</si>
  <si>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</si>
  <si>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</si>
  <si>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</si>
  <si>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</si>
  <si>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</si>
  <si>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</si>
  <si>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</si>
  <si>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</si>
  <si>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</si>
  <si>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</si>
  <si>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</si>
  <si>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</si>
  <si>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</si>
  <si>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</si>
  <si>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</si>
  <si>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</si>
  <si>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</si>
  <si>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</si>
  <si>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</si>
  <si>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</si>
  <si>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</si>
  <si>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</si>
  <si>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</si>
  <si>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</si>
  <si>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</si>
  <si>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</si>
  <si>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</si>
  <si>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</si>
  <si>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</si>
  <si>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</si>
  <si>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</si>
  <si>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</si>
  <si>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</si>
  <si>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</si>
  <si>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</si>
  <si>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</si>
  <si>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</si>
  <si>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</si>
  <si>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</si>
  <si>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</si>
  <si>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</si>
  <si>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</si>
  <si>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</si>
  <si>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</si>
  <si>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</si>
  <si>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</si>
  <si>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</si>
  <si>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</si>
  <si>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</si>
  <si>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</si>
  <si>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</si>
  <si>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</si>
  <si>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</si>
  <si>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</si>
  <si>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</si>
  <si>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</si>
  <si>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</si>
  <si>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</si>
  <si>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</si>
  <si>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</si>
  <si>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</si>
  <si>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</si>
  <si>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</si>
  <si>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</si>
  <si>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</si>
  <si>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</si>
  <si>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</si>
  <si>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</si>
  <si>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</si>
  <si>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</si>
  <si>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</si>
  <si>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</si>
  <si>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</si>
  <si>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</si>
  <si>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</si>
  <si>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</si>
  <si>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</si>
  <si>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</si>
  <si>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</si>
  <si>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</si>
  <si>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</si>
  <si>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</si>
  <si>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</si>
  <si>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</si>
  <si>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</si>
  <si>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</si>
  <si>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</si>
  <si>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</si>
  <si>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</si>
  <si>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</si>
  <si>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</si>
  <si>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</si>
  <si>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</si>
  <si>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</si>
  <si>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</si>
  <si>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</si>
  <si>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</si>
  <si>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</si>
  <si>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</si>
  <si>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</si>
  <si>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</si>
  <si>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</si>
  <si>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</si>
  <si>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</si>
  <si>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</si>
  <si>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</si>
  <si>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</si>
  <si>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</si>
  <si>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</si>
  <si>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</si>
  <si>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</si>
  <si>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</si>
  <si>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</si>
  <si>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</si>
  <si>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</si>
  <si>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</si>
  <si>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</si>
  <si>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</si>
  <si>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</si>
  <si>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</si>
  <si>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</si>
  <si>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</si>
  <si>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</si>
  <si>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</si>
  <si>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</si>
  <si>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</si>
  <si>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</si>
  <si>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</si>
  <si>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</si>
  <si>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</si>
  <si>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</si>
  <si>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</si>
  <si>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</si>
  <si>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</si>
  <si>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</si>
  <si>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</si>
  <si>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</si>
  <si>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</si>
  <si>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</si>
  <si>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</si>
  <si>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</si>
  <si>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</si>
  <si>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</si>
  <si>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</si>
  <si>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</si>
  <si>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</si>
  <si>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</si>
  <si>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</si>
  <si>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</si>
  <si>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</si>
  <si>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</si>
  <si>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</si>
  <si>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</si>
  <si>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</si>
  <si>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</si>
  <si>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</si>
  <si>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</si>
  <si>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</si>
  <si>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</si>
  <si>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</si>
  <si>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</si>
  <si>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</si>
  <si>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</si>
  <si>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</si>
  <si>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</si>
  <si>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</si>
  <si>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</si>
  <si>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</si>
  <si>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</si>
  <si>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</si>
  <si>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</si>
  <si>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</si>
  <si>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</si>
  <si>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</si>
  <si>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</si>
  <si>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</si>
  <si>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</si>
  <si>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</si>
  <si>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</si>
  <si>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</si>
  <si>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</si>
  <si>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</si>
  <si>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</si>
  <si>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</si>
  <si>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</si>
  <si>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</si>
  <si>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</si>
  <si>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</si>
  <si>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</si>
  <si>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</si>
  <si>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</si>
  <si>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</si>
  <si>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</si>
  <si>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</si>
  <si>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</si>
  <si>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</si>
  <si>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</si>
  <si>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</si>
  <si>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</si>
  <si>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</si>
  <si>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</si>
  <si>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</si>
  <si>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</si>
  <si>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</si>
  <si>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</si>
  <si>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</si>
  <si>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</si>
  <si>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</si>
  <si>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</si>
  <si>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</si>
  <si>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</si>
  <si>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</si>
  <si>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</si>
  <si>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</si>
  <si>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</si>
  <si>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</si>
  <si>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</si>
  <si>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</si>
  <si>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</si>
  <si>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</si>
  <si>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</si>
  <si>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</si>
  <si>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</si>
  <si>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</si>
  <si>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</si>
  <si>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</si>
  <si>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</si>
  <si>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</si>
  <si>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</si>
  <si>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</si>
  <si>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</si>
  <si>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</si>
  <si>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</si>
  <si>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</si>
  <si>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</si>
  <si>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</si>
  <si>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</si>
  <si>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</si>
  <si>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</si>
  <si>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</si>
  <si>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</si>
  <si>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</si>
  <si>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</si>
  <si>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</si>
  <si>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</si>
  <si>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</si>
  <si>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</si>
  <si>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</si>
  <si>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</si>
  <si>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</si>
  <si>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</si>
  <si>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</si>
  <si>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</si>
  <si>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</si>
  <si>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</si>
  <si>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</si>
  <si>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</si>
  <si>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</si>
  <si>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</si>
  <si>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</si>
  <si>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</si>
  <si>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</si>
  <si>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</si>
  <si>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</si>
  <si>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</si>
  <si>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</si>
  <si>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</si>
  <si>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</si>
  <si>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</si>
  <si>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</si>
  <si>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</si>
  <si>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</si>
  <si>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</si>
  <si>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</si>
  <si>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</si>
  <si>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</si>
  <si>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</si>
  <si>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</si>
  <si>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</si>
  <si>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</si>
  <si>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</si>
  <si>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</si>
  <si>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</si>
  <si>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</si>
  <si>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</si>
  <si>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</si>
  <si>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</si>
  <si>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</si>
  <si>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</si>
  <si>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</si>
  <si>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</si>
  <si>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</si>
  <si>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</si>
  <si>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</si>
  <si>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</si>
  <si>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</si>
  <si>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</si>
  <si>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</si>
  <si>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</si>
  <si>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</si>
  <si>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</si>
  <si>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</si>
  <si>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</si>
  <si>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</si>
  <si>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</si>
  <si>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</si>
  <si>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</si>
  <si>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</si>
  <si>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</si>
  <si>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</si>
  <si>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</si>
  <si>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</si>
  <si>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</si>
  <si>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</si>
  <si>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</si>
  <si>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</si>
  <si>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</si>
  <si>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</si>
  <si>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</si>
  <si>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</si>
  <si>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</si>
  <si>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</si>
  <si>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</si>
  <si>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</si>
  <si>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</si>
  <si>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</si>
  <si>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</si>
  <si>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</si>
  <si>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</si>
  <si>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</si>
  <si>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</si>
  <si>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</si>
  <si>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</si>
  <si>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</si>
  <si>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</si>
  <si>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</si>
  <si>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</si>
  <si>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</si>
  <si>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</si>
  <si>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</si>
  <si>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</si>
  <si>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</si>
  <si>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</si>
  <si>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</si>
  <si>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</si>
  <si>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</si>
  <si>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</si>
  <si>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</si>
  <si>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</si>
  <si>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</si>
  <si>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</si>
  <si>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</si>
  <si>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</si>
  <si>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</si>
  <si>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</si>
  <si>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</si>
  <si>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</si>
  <si>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</si>
  <si>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</si>
  <si>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</si>
  <si>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</si>
  <si>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</si>
  <si>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</si>
  <si>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</si>
  <si>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</si>
  <si>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</si>
  <si>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</si>
  <si>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</si>
  <si>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</si>
  <si>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</si>
  <si>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</si>
  <si>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</si>
  <si>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</si>
  <si>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</si>
  <si>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</si>
  <si>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</si>
  <si>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</si>
  <si>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</si>
  <si>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</si>
  <si>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</si>
  <si>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</si>
  <si>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</si>
  <si>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</si>
  <si>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</si>
  <si>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</si>
  <si>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</si>
  <si>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</si>
  <si>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</si>
  <si>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</si>
  <si>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</si>
  <si>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</si>
  <si>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</si>
  <si>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</si>
  <si>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</si>
  <si>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</si>
  <si>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</si>
  <si>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</si>
  <si>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</si>
  <si>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</si>
  <si>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</si>
  <si>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</si>
  <si>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</si>
  <si>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</si>
  <si>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</si>
  <si>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</si>
  <si>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</si>
  <si>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</si>
  <si>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</si>
  <si>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</si>
  <si>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</si>
  <si>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</si>
  <si>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</si>
  <si>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</si>
  <si>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</si>
  <si>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</si>
  <si>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</si>
  <si>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</si>
  <si>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</si>
  <si>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</si>
  <si>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</si>
  <si>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</si>
  <si>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</si>
  <si>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</si>
  <si>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</si>
  <si>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</si>
  <si>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</si>
  <si>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</si>
  <si>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</si>
  <si>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</si>
  <si>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</si>
  <si>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</si>
  <si>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</si>
  <si>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</si>
  <si>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</si>
  <si>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</si>
  <si>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</si>
  <si>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</si>
  <si>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</si>
  <si>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</si>
  <si>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</si>
  <si>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</si>
  <si>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</si>
  <si>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</si>
  <si>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</si>
  <si>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</si>
  <si>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</si>
  <si>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</si>
  <si>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</si>
  <si>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</si>
  <si>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</si>
  <si>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</si>
  <si>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</si>
  <si>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</si>
  <si>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</si>
  <si>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</si>
  <si>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</si>
  <si>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</si>
  <si>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</si>
  <si>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</si>
  <si>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</si>
  <si>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</si>
  <si>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</si>
  <si>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</si>
  <si>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</si>
  <si>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</si>
  <si>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</si>
  <si>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</si>
  <si>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</si>
  <si>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</si>
  <si>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</si>
  <si>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</si>
  <si>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</si>
  <si>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</si>
  <si>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</si>
  <si>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</si>
  <si>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</si>
  <si>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</si>
  <si>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</si>
  <si>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</si>
  <si>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</si>
  <si>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</si>
  <si>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</si>
  <si>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</si>
  <si>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</si>
  <si>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</si>
  <si>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</si>
  <si>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</si>
  <si>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</si>
  <si>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</si>
  <si>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</si>
  <si>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</si>
  <si>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</si>
  <si>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</si>
  <si>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</si>
  <si>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</si>
  <si>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</si>
  <si>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</si>
  <si>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</si>
  <si>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</si>
  <si>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</si>
  <si>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</si>
  <si>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</si>
  <si>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</si>
  <si>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</si>
  <si>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</si>
  <si>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</si>
  <si>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</si>
  <si>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</si>
  <si>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</si>
  <si>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</si>
  <si>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</si>
  <si>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</si>
  <si>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</si>
  <si>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</si>
  <si>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</si>
  <si>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</si>
  <si>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</si>
  <si>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</si>
  <si>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</si>
  <si>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</si>
  <si>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</si>
  <si>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</si>
  <si>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</si>
  <si>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</si>
  <si>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</si>
  <si>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</si>
  <si>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</si>
  <si>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</si>
  <si>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</si>
  <si>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</si>
  <si>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</si>
  <si>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</si>
  <si>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</si>
  <si>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</si>
  <si>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</si>
  <si>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</si>
  <si>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</si>
  <si>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</si>
  <si>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</si>
  <si>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</si>
  <si>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</si>
  <si>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</si>
  <si>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</si>
  <si>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</si>
  <si>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</si>
  <si>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</si>
  <si>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</si>
  <si>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</si>
  <si>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</si>
  <si>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</si>
  <si>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</si>
  <si>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</si>
  <si>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</si>
  <si>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</si>
  <si>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</si>
  <si>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</si>
  <si>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</si>
  <si>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</si>
  <si>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</si>
  <si>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</si>
  <si>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</si>
  <si>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</si>
  <si>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</si>
  <si>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</si>
  <si>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</si>
  <si>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</si>
  <si>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</si>
  <si>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</si>
  <si>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</si>
  <si>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</si>
  <si>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</si>
  <si>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</si>
  <si>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</si>
  <si>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</si>
  <si>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</si>
  <si>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</si>
  <si>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</si>
  <si>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</si>
  <si>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</si>
  <si>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</si>
  <si>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</si>
  <si>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</si>
  <si>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</si>
  <si>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</si>
  <si>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</si>
  <si>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</si>
  <si>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</si>
  <si>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</si>
  <si>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</si>
  <si>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</si>
  <si>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</si>
  <si>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</si>
  <si>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</si>
  <si>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</si>
  <si>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</si>
  <si>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</si>
  <si>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</si>
  <si>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</si>
  <si>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</si>
  <si>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</si>
  <si>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</si>
  <si>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</si>
  <si>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</si>
  <si>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</si>
  <si>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</si>
  <si>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</si>
  <si>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</si>
  <si>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</si>
  <si>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</si>
  <si>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</si>
  <si>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</si>
  <si>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</si>
  <si>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</si>
  <si>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</si>
  <si>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</si>
  <si>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</si>
  <si>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</si>
  <si>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</si>
  <si>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</si>
  <si>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</si>
  <si>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</si>
  <si>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</si>
  <si>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</si>
  <si>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</si>
  <si>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</si>
  <si>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</si>
  <si>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</si>
  <si>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</si>
  <si>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</si>
  <si>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</si>
  <si>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</si>
  <si>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</si>
  <si>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</si>
  <si>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</si>
  <si>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</si>
  <si>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</si>
  <si>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</si>
  <si>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</si>
  <si>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</si>
  <si>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</si>
  <si>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</si>
  <si>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</si>
  <si>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</si>
  <si>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</si>
  <si>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</si>
  <si>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</si>
  <si>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</si>
  <si>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</si>
  <si>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</si>
  <si>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</si>
  <si>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</si>
  <si>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</si>
  <si>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</si>
  <si>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</si>
  <si>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</si>
  <si>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</si>
  <si>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</si>
  <si>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</si>
  <si>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</si>
  <si>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</si>
  <si>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</si>
  <si>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</si>
  <si>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</si>
  <si>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</si>
  <si>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</si>
  <si>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</si>
  <si>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</si>
  <si>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</si>
  <si>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</si>
  <si>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</si>
  <si>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</si>
  <si>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</si>
  <si>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</si>
  <si>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</si>
  <si>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</si>
  <si>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</si>
  <si>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</si>
  <si>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</si>
  <si>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</si>
  <si>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</si>
  <si>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</si>
  <si>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</si>
  <si>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</si>
  <si>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</si>
  <si>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</si>
  <si>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</si>
  <si>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</si>
  <si>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</si>
  <si>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</si>
  <si>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</si>
  <si>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</si>
  <si>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</si>
  <si>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</si>
  <si>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</si>
  <si>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</si>
  <si>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</si>
  <si>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</si>
  <si>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</si>
  <si>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</si>
  <si>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</si>
  <si>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</si>
  <si>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</si>
  <si>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</si>
  <si>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</si>
  <si>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</si>
  <si>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</si>
  <si>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</si>
  <si>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</si>
  <si>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</si>
  <si>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</si>
  <si>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</si>
  <si>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</si>
  <si>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</si>
  <si>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</si>
  <si>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</si>
  <si>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</si>
  <si>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</si>
  <si>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</si>
  <si>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</si>
  <si>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</si>
  <si>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</si>
  <si>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</si>
  <si>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</si>
  <si>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</si>
  <si>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</si>
  <si>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</si>
  <si>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</si>
  <si>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</si>
  <si>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</si>
  <si>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</si>
  <si>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</si>
  <si>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</si>
  <si>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</si>
  <si>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</si>
  <si>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</si>
  <si>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</si>
  <si>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</si>
  <si>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</si>
  <si>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</si>
  <si>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</si>
  <si>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</si>
  <si>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</si>
  <si>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</si>
  <si>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</si>
  <si>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</si>
  <si>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</si>
  <si>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</si>
  <si>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</si>
  <si>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</si>
  <si>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</si>
  <si>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</si>
  <si>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</si>
  <si>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</si>
  <si>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</si>
  <si>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</si>
  <si>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</si>
  <si>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</si>
  <si>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</si>
  <si>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</si>
  <si>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</si>
  <si>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</si>
  <si>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</si>
  <si>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</si>
  <si>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</si>
  <si>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</si>
  <si>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</si>
  <si>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</si>
  <si>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</si>
  <si>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</si>
  <si>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</si>
  <si>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</si>
  <si>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</si>
  <si>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</si>
  <si>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</si>
  <si>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</si>
  <si>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</si>
  <si>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</si>
  <si>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</si>
  <si>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</si>
  <si>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</si>
  <si>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</si>
  <si>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</si>
  <si>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</si>
  <si>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</si>
  <si>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</si>
  <si>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</si>
  <si>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</si>
  <si>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</si>
  <si>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</si>
  <si>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</si>
  <si>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</si>
  <si>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</si>
  <si>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</si>
  <si>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</si>
  <si>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</si>
  <si>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</si>
  <si>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</si>
  <si>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</si>
  <si>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</si>
  <si>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</si>
  <si>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</si>
  <si>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</si>
  <si>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</si>
  <si>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</si>
  <si>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</si>
  <si>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</si>
  <si>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</si>
  <si>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</si>
  <si>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</si>
  <si>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</si>
  <si>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</si>
  <si>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</si>
  <si>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</si>
  <si>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</si>
  <si>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</si>
  <si>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</si>
  <si>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</si>
  <si>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</si>
  <si>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</si>
  <si>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</si>
  <si>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</si>
  <si>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</si>
  <si>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</si>
  <si>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</si>
  <si>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</si>
  <si>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</si>
  <si>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</si>
  <si>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</si>
  <si>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</si>
  <si>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</si>
  <si>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</si>
  <si>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</si>
  <si>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</si>
  <si>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</si>
  <si>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</si>
  <si>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</si>
  <si>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</si>
  <si>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</si>
  <si>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</si>
  <si>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</si>
  <si>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</si>
  <si>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</si>
  <si>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</si>
  <si>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</si>
  <si>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</si>
  <si>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</si>
  <si>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</si>
  <si>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</si>
  <si>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</si>
  <si>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</si>
  <si>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</si>
  <si>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</si>
  <si>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</si>
  <si>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</si>
  <si>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</si>
  <si>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</si>
  <si>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</si>
  <si>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</si>
  <si>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</si>
  <si>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</si>
  <si>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</si>
  <si>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</si>
  <si>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</si>
  <si>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</si>
  <si>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</si>
  <si>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</si>
  <si>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</si>
  <si>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</si>
  <si>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</si>
  <si>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</si>
  <si>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</si>
  <si>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</si>
  <si>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</si>
  <si>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</si>
  <si>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</si>
  <si>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</si>
  <si>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</si>
  <si>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</si>
  <si>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</si>
  <si>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</si>
  <si>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</si>
  <si>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</si>
  <si>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</si>
  <si>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</si>
  <si>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</si>
  <si>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</si>
  <si>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</si>
  <si>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</si>
  <si>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</si>
  <si>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</si>
  <si>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</si>
  <si>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</si>
  <si>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</si>
  <si>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</si>
  <si>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</si>
  <si>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</si>
  <si>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</si>
  <si>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</si>
  <si>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</si>
  <si>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</si>
  <si>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</si>
  <si>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</si>
  <si>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</si>
  <si>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</si>
  <si>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</si>
  <si>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</si>
  <si>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</si>
  <si>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</si>
  <si>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</si>
  <si>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</si>
  <si>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</si>
  <si>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</si>
  <si>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</si>
  <si>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</si>
  <si>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</si>
  <si>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</si>
  <si>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</si>
  <si>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</si>
  <si>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</si>
  <si>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</si>
  <si>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</si>
  <si>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</si>
  <si>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</si>
  <si>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</si>
  <si>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</si>
  <si>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</si>
  <si>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</si>
  <si>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</si>
  <si>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</si>
  <si>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</si>
  <si>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</si>
  <si>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</si>
  <si>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</si>
  <si>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</si>
  <si>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</si>
  <si>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</si>
  <si>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</si>
  <si>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</si>
  <si>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</si>
  <si>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</si>
  <si>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</si>
  <si>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</si>
  <si>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</si>
  <si>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</si>
  <si>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</si>
  <si>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</si>
  <si>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</si>
  <si>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</si>
  <si>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</si>
  <si>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</si>
  <si>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</si>
  <si>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</si>
  <si>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</si>
  <si>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</si>
  <si>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</si>
  <si>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</si>
  <si>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</si>
  <si>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</si>
  <si>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</si>
  <si>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</si>
  <si>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</si>
  <si>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</si>
  <si>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</si>
  <si>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</si>
  <si>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</si>
  <si>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</si>
  <si>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</si>
  <si>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</si>
  <si>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</si>
  <si>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</si>
  <si>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</si>
  <si>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</si>
  <si>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</si>
  <si>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</si>
  <si>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</si>
  <si>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</si>
  <si>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</si>
  <si>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</si>
  <si>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</si>
  <si>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</si>
  <si>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</si>
  <si>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</si>
  <si>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</si>
  <si>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</si>
  <si>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</si>
  <si>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</si>
  <si>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</si>
  <si>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</si>
  <si>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</si>
  <si>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</si>
  <si>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</si>
  <si>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</si>
  <si>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</si>
  <si>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</si>
  <si>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</si>
  <si>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</si>
  <si>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</si>
  <si>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</si>
  <si>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</si>
  <si>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</si>
  <si>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</si>
  <si>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</si>
  <si>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</si>
  <si>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</si>
  <si>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</si>
  <si>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</si>
  <si>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</si>
  <si>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</si>
  <si>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</si>
  <si>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</si>
  <si>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</si>
  <si>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</si>
  <si>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</si>
  <si>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</si>
  <si>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</si>
  <si>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</si>
  <si>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</si>
  <si>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</si>
  <si>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</si>
  <si>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</si>
  <si>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</si>
  <si>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</si>
  <si>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</si>
  <si>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</si>
  <si>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</si>
  <si>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</si>
  <si>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</si>
  <si>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</si>
  <si>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</si>
  <si>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</si>
  <si>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</si>
  <si>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</si>
  <si>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</si>
  <si>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</si>
  <si>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</si>
  <si>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</si>
  <si>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</si>
  <si>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</si>
  <si>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</si>
  <si>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</si>
  <si>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</si>
  <si>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</si>
  <si>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</si>
  <si>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</si>
  <si>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</si>
  <si>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</si>
  <si>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</si>
  <si>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</si>
  <si>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</si>
  <si>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</si>
  <si>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</si>
  <si>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</si>
  <si>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</si>
  <si>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</si>
  <si>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</si>
  <si>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</si>
  <si>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</si>
  <si>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</si>
  <si>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</si>
  <si>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</si>
  <si>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</si>
  <si>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</si>
  <si>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</si>
  <si>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</si>
  <si>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</si>
  <si>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</si>
  <si>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</si>
  <si>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</si>
  <si>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</si>
  <si>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</si>
  <si>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</si>
  <si>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</si>
  <si>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</si>
  <si>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</si>
  <si>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</si>
  <si>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</si>
  <si>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</si>
  <si>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</si>
  <si>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</si>
  <si>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</si>
  <si>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</si>
  <si>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</si>
  <si>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</si>
  <si>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</si>
  <si>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</si>
  <si>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</si>
  <si>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</si>
  <si>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</si>
  <si>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</si>
  <si>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</si>
  <si>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</si>
  <si>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</si>
  <si>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</si>
  <si>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</si>
  <si>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</si>
  <si>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</si>
  <si>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</si>
  <si>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</si>
  <si>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</si>
  <si>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</si>
  <si>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</si>
  <si>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</si>
  <si>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</si>
  <si>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</si>
  <si>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</si>
  <si>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</si>
  <si>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</si>
  <si>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</si>
  <si>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</si>
  <si>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</si>
  <si>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</si>
  <si>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</si>
  <si>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</si>
  <si>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</si>
  <si>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</si>
  <si>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</si>
  <si>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</si>
  <si>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</si>
  <si>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</si>
  <si>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</si>
  <si>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</si>
  <si>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</si>
  <si>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</si>
  <si>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</si>
  <si>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</si>
  <si>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</si>
  <si>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</si>
  <si>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</si>
  <si>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</si>
  <si>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</si>
  <si>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</si>
  <si>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</si>
  <si>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</si>
  <si>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</si>
  <si>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</si>
  <si>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</si>
  <si>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</si>
  <si>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</si>
  <si>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</si>
  <si>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</si>
  <si>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</si>
  <si>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</si>
  <si>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</si>
  <si>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</si>
  <si>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</si>
  <si>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</si>
  <si>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</si>
  <si>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</si>
  <si>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</si>
  <si>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</si>
  <si>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</si>
  <si>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</si>
  <si>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</si>
  <si>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</si>
  <si>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</si>
  <si>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</si>
  <si>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</si>
  <si>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</si>
  <si>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</si>
  <si>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</si>
  <si>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</si>
  <si>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</si>
  <si>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</si>
  <si>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</si>
  <si>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</si>
  <si>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</si>
  <si>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</si>
  <si>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</si>
  <si>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</si>
  <si>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</si>
  <si>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</si>
  <si>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</si>
  <si>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</si>
  <si>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</si>
  <si>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</si>
  <si>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</si>
  <si>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</si>
  <si>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</si>
  <si>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</si>
  <si>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</si>
  <si>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</si>
  <si>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</si>
  <si>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</si>
  <si>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</si>
  <si>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</si>
  <si>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</si>
  <si>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</si>
  <si>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</si>
  <si>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</si>
  <si>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</si>
  <si>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</si>
  <si>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</si>
  <si>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</si>
  <si>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</si>
  <si>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</si>
  <si>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</si>
  <si>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</si>
  <si>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</si>
  <si>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</si>
  <si>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</si>
  <si>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</si>
  <si>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</si>
  <si>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</si>
  <si>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</si>
  <si>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</si>
  <si>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</si>
  <si>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</si>
  <si>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</si>
  <si>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</si>
  <si>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</si>
  <si>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</si>
  <si>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</si>
  <si>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</si>
  <si>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</si>
  <si>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</si>
  <si>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</si>
  <si>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</si>
  <si>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</si>
  <si>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</si>
  <si>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</si>
  <si>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</si>
  <si>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</si>
  <si>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</si>
  <si>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</si>
  <si>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</si>
  <si>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</si>
  <si>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</si>
  <si>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</si>
  <si>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</si>
  <si>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</si>
  <si>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</si>
  <si>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</si>
  <si>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</si>
  <si>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</si>
  <si>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</si>
  <si>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</si>
  <si>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</si>
  <si>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</si>
  <si>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</si>
  <si>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</si>
  <si>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</si>
  <si>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</si>
  <si>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</si>
  <si>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</si>
  <si>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</si>
  <si>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</si>
  <si>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</si>
  <si>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</si>
  <si>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</si>
  <si>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</si>
  <si>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</si>
  <si>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</si>
  <si>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</si>
  <si>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</si>
  <si>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</si>
  <si>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</si>
  <si>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</si>
  <si>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</si>
  <si>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</si>
  <si>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</si>
  <si>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</si>
  <si>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</si>
  <si>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</si>
  <si>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</si>
  <si>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</si>
  <si>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</si>
  <si>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</si>
  <si>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</si>
  <si>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</si>
  <si>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</si>
  <si>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</si>
  <si>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</si>
  <si>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</si>
  <si>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</si>
  <si>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</si>
  <si>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</si>
  <si>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</si>
  <si>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</si>
  <si>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</si>
  <si>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</si>
  <si>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</si>
  <si>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</si>
  <si>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</si>
  <si>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</si>
  <si>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</si>
  <si>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</si>
  <si>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</si>
  <si>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</si>
  <si>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</si>
  <si>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</si>
  <si>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</si>
  <si>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</si>
  <si>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</si>
  <si>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</si>
  <si>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</si>
  <si>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</si>
  <si>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</si>
  <si>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</si>
  <si>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</si>
  <si>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</si>
  <si>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</si>
  <si>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</si>
  <si>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</si>
  <si>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</si>
  <si>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</si>
  <si>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</si>
  <si>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</si>
  <si>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</si>
  <si>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</si>
  <si>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</si>
  <si>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</si>
  <si>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</si>
  <si>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</si>
  <si>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</si>
  <si>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</si>
  <si>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</si>
  <si>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</si>
  <si>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</si>
  <si>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</si>
  <si>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</si>
  <si>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</si>
  <si>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</si>
  <si>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</si>
  <si>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</si>
  <si>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</si>
  <si>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</si>
  <si>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</si>
  <si>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</si>
  <si>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</si>
  <si>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</si>
  <si>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</si>
  <si>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</si>
  <si>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</si>
  <si>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</si>
  <si>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</si>
  <si>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</si>
  <si>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</si>
  <si>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</si>
  <si>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</si>
  <si>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</si>
  <si>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</si>
  <si>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</si>
  <si>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</si>
  <si>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</si>
  <si>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</si>
  <si>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</si>
  <si>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</si>
  <si>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</si>
  <si>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</si>
  <si>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</si>
  <si>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</si>
  <si>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</si>
  <si>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</si>
  <si>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</si>
  <si>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</si>
  <si>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</si>
  <si>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</si>
  <si>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</si>
  <si>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</si>
  <si>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</si>
  <si>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</si>
  <si>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</si>
  <si>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</si>
  <si>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</si>
  <si>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</si>
  <si>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</si>
  <si>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</si>
  <si>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</si>
  <si>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</si>
  <si>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</si>
  <si>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</si>
  <si>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</si>
  <si>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</si>
  <si>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</si>
  <si>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</si>
  <si>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</si>
  <si>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</si>
  <si>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</si>
  <si>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</si>
  <si>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</si>
  <si>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</si>
  <si>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</si>
  <si>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</si>
  <si>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</si>
  <si>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</si>
  <si>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</si>
  <si>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</si>
  <si>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</si>
  <si>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</si>
  <si>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</si>
  <si>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</si>
  <si>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</si>
  <si>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</si>
  <si>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</si>
  <si>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</si>
  <si>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</si>
  <si>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</si>
  <si>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</si>
  <si>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</si>
  <si>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</si>
  <si>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</si>
  <si>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</si>
  <si>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</si>
  <si>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</si>
  <si>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</si>
  <si>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</si>
  <si>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</si>
  <si>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</si>
  <si>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</si>
  <si>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</si>
  <si>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</si>
  <si>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</si>
  <si>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</si>
  <si>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</si>
  <si>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</si>
  <si>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</si>
  <si>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</si>
  <si>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</si>
  <si>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</si>
  <si>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</si>
  <si>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</si>
  <si>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</si>
  <si>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</si>
  <si>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</si>
  <si>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</si>
  <si>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</si>
  <si>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</si>
  <si>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</si>
  <si>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</si>
  <si>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</si>
  <si>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</si>
  <si>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</si>
  <si>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</si>
  <si>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</si>
  <si>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</si>
  <si>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</si>
  <si>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</si>
  <si>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</si>
  <si>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</si>
  <si>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</si>
  <si>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</si>
  <si>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</si>
  <si>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</si>
  <si>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</si>
  <si>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</si>
  <si>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</si>
  <si>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</si>
  <si>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</si>
  <si>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</si>
  <si>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</si>
  <si>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</si>
  <si>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</si>
  <si>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</si>
  <si>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</si>
  <si>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</si>
  <si>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</si>
  <si>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</si>
  <si>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</si>
  <si>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</si>
  <si>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</si>
  <si>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</si>
  <si>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</si>
  <si>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</si>
  <si>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</si>
  <si>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</si>
  <si>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</si>
  <si>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</si>
  <si>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</si>
  <si>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</si>
  <si>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</si>
  <si>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</si>
  <si>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</si>
  <si>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</si>
  <si>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</si>
  <si>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</si>
  <si>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</si>
  <si>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</si>
  <si>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</si>
  <si>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</si>
  <si>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</si>
  <si>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</si>
  <si>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</si>
  <si>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</si>
  <si>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</si>
  <si>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</si>
  <si>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</si>
  <si>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</si>
  <si>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</si>
  <si>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</si>
  <si>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</si>
  <si>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</si>
  <si>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</si>
  <si>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</si>
  <si>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</si>
  <si>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</si>
  <si>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</si>
  <si>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</si>
  <si>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</si>
  <si>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</si>
  <si>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</si>
  <si>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</si>
  <si>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</si>
  <si>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</si>
  <si>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</si>
  <si>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</si>
  <si>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</si>
  <si>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</si>
  <si>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</si>
  <si>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</si>
  <si>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</si>
  <si>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</si>
  <si>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</si>
  <si>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</si>
  <si>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</si>
  <si>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</si>
  <si>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</si>
  <si>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</si>
  <si>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</si>
  <si>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</si>
  <si>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</si>
  <si>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</si>
  <si>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</si>
  <si>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</si>
  <si>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</si>
  <si>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</si>
  <si>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</si>
  <si>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</si>
  <si>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</si>
  <si>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</si>
  <si>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</si>
  <si>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</si>
  <si>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</si>
  <si>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</si>
  <si>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</si>
  <si>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</si>
  <si>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</si>
  <si>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</si>
  <si>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</si>
  <si>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</si>
  <si>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</si>
  <si>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</si>
  <si>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</si>
  <si>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</si>
  <si>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</si>
  <si>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</si>
  <si>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</si>
  <si>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</si>
  <si>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</si>
  <si>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</si>
  <si>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</si>
  <si>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</si>
  <si>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</si>
  <si>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</si>
  <si>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</si>
  <si>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</si>
  <si>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</si>
  <si>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</si>
  <si>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</si>
  <si>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</si>
  <si>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</si>
  <si>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</si>
  <si>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</si>
  <si>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</si>
  <si>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</si>
  <si>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</si>
  <si>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</si>
  <si>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</si>
  <si>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</si>
  <si>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</si>
  <si>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</si>
  <si>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</si>
  <si>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</si>
  <si>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</si>
  <si>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</si>
  <si>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</si>
  <si>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</si>
  <si>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</si>
  <si>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</si>
  <si>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</si>
  <si>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</si>
  <si>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</si>
  <si>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</si>
  <si>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</si>
  <si>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</si>
  <si>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</si>
  <si>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</si>
  <si>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</si>
  <si>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</si>
  <si>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</si>
  <si>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</si>
  <si>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</si>
  <si>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</si>
  <si>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</si>
  <si>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</si>
  <si>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</si>
  <si>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</si>
  <si>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</si>
  <si>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</si>
  <si>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</si>
  <si>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</si>
  <si>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</si>
  <si>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</si>
  <si>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</si>
  <si>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</si>
  <si>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</si>
  <si>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</si>
  <si>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</si>
  <si>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</si>
  <si>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</si>
  <si>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</si>
  <si>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</si>
  <si>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</si>
  <si>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</si>
  <si>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</si>
  <si>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</si>
  <si>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</si>
  <si>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</si>
  <si>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</si>
  <si>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</si>
  <si>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</si>
  <si>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</si>
  <si>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</si>
  <si>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</si>
  <si>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</si>
  <si>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</si>
  <si>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</si>
  <si>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</si>
  <si>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</si>
  <si>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</si>
  <si>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</si>
  <si>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</si>
  <si>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</si>
  <si>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</si>
  <si>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</si>
  <si>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</si>
  <si>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</si>
  <si>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</si>
  <si>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</si>
  <si>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</si>
  <si>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</si>
  <si>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</si>
  <si>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</si>
  <si>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</si>
  <si>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</si>
  <si>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</si>
  <si>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</si>
  <si>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</si>
  <si>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</si>
  <si>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</si>
  <si>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</si>
  <si>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</si>
  <si>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</si>
  <si>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</si>
  <si>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</si>
  <si>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</si>
  <si>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</si>
  <si>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</si>
  <si>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</si>
  <si>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</si>
  <si>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</si>
  <si>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</si>
  <si>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</si>
  <si>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</si>
  <si>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</si>
  <si>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</si>
  <si>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</si>
  <si>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</si>
  <si>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</si>
  <si>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</si>
  <si>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</si>
  <si>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</si>
  <si>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</si>
  <si>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</si>
  <si>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</si>
  <si>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</si>
  <si>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</si>
  <si>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</si>
  <si>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</si>
  <si>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</si>
  <si>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</si>
  <si>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</si>
  <si>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</si>
  <si>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</si>
  <si>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</si>
  <si>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</si>
  <si>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</si>
  <si>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</si>
  <si>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</si>
  <si>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</si>
  <si>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</si>
  <si>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</si>
  <si>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</si>
  <si>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</si>
  <si>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</si>
  <si>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</si>
  <si>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</si>
  <si>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</si>
  <si>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</si>
  <si>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</si>
  <si>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</si>
  <si>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</si>
  <si>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</si>
  <si>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</si>
  <si>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</si>
  <si>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</si>
  <si>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</si>
  <si>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</si>
  <si>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</si>
  <si>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</si>
  <si>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</si>
  <si>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</si>
  <si>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</si>
  <si>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</si>
  <si>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</si>
  <si>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</si>
  <si>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</si>
  <si>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</si>
  <si>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</si>
  <si>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</si>
  <si>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</si>
  <si>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</si>
  <si>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</si>
  <si>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</si>
  <si>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</si>
  <si>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</si>
  <si>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</si>
  <si>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</si>
  <si>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</si>
  <si>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</si>
  <si>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</si>
  <si>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</si>
  <si>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</si>
  <si>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</si>
  <si>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</si>
  <si>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</si>
  <si>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</si>
  <si>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</si>
  <si>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</si>
  <si>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</si>
  <si>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</si>
  <si>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</si>
  <si>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</si>
  <si>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</si>
  <si>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</si>
  <si>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</si>
  <si>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</si>
  <si>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</si>
  <si>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</si>
  <si>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</si>
  <si>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</si>
  <si>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</si>
  <si>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</si>
  <si>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</si>
  <si>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</si>
  <si>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</si>
  <si>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</si>
  <si>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</si>
  <si>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</si>
  <si>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</si>
  <si>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</si>
  <si>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</si>
  <si>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</si>
  <si>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</si>
  <si>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</si>
  <si>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</si>
  <si>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</si>
  <si>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</si>
  <si>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</si>
  <si>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</si>
  <si>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</si>
  <si>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</si>
  <si>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</si>
  <si>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</si>
  <si>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</si>
  <si>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</si>
  <si>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</si>
  <si>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</si>
  <si>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</si>
  <si>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</si>
  <si>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</si>
  <si>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</si>
  <si>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</si>
  <si>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</si>
  <si>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</si>
  <si>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</si>
  <si>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</si>
  <si>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</si>
  <si>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</si>
  <si>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</si>
  <si>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</si>
  <si>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</si>
  <si>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</si>
  <si>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</si>
  <si>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</si>
  <si>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</si>
  <si>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</si>
  <si>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</si>
  <si>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</si>
  <si>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</si>
  <si>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</si>
  <si>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</si>
  <si>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</si>
  <si>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</si>
  <si>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</si>
  <si>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</si>
  <si>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</si>
  <si>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</si>
  <si>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</si>
  <si>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</si>
  <si>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</si>
  <si>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</si>
  <si>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</si>
  <si>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</si>
  <si>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</si>
  <si>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</si>
  <si>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</si>
  <si>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</si>
  <si>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</si>
  <si>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</si>
  <si>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</si>
  <si>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</si>
  <si>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</si>
  <si>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</si>
  <si>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</si>
  <si>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</si>
  <si>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</si>
  <si>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</si>
  <si>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</si>
  <si>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</si>
  <si>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</si>
  <si>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</si>
  <si>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</si>
  <si>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</si>
  <si>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</si>
  <si>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</si>
  <si>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</si>
  <si>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</si>
  <si>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</si>
  <si>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</si>
  <si>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</si>
  <si>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</si>
  <si>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</si>
  <si>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</si>
  <si>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</si>
  <si>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</si>
  <si>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</si>
  <si>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</si>
  <si>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</si>
  <si>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</si>
  <si>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</si>
  <si>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</si>
  <si>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</si>
  <si>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</si>
  <si>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</si>
  <si>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</si>
  <si>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</si>
  <si>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</si>
  <si>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</si>
  <si>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</si>
  <si>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</si>
  <si>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</si>
  <si>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</si>
  <si>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</si>
  <si>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</si>
  <si>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</si>
  <si>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</si>
  <si>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</si>
  <si>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</si>
  <si>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</si>
  <si>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</si>
  <si>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</si>
  <si>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</si>
  <si>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</si>
  <si>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</si>
  <si>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</si>
  <si>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</si>
  <si>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</si>
  <si>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</si>
  <si>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</si>
  <si>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</si>
  <si>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</si>
  <si>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</si>
  <si>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</si>
  <si>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</si>
  <si>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</si>
  <si>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</si>
  <si>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</si>
  <si>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</si>
  <si>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</si>
  <si>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</si>
  <si>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</si>
  <si>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</si>
  <si>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</si>
  <si>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</si>
  <si>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</si>
  <si>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</si>
  <si>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</si>
  <si>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</si>
  <si>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</si>
  <si>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</si>
  <si>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</si>
  <si>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</si>
  <si>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</si>
  <si>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</si>
  <si>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</si>
  <si>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</si>
  <si>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</si>
  <si>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</si>
  <si>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</si>
  <si>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</si>
  <si>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</si>
  <si>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</si>
  <si>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</si>
  <si>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</si>
  <si>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</si>
  <si>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</si>
  <si>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</si>
  <si>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</si>
  <si>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</si>
  <si>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</si>
  <si>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</si>
  <si>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</si>
  <si>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</si>
  <si>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</si>
  <si>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</si>
  <si>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</si>
  <si>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</si>
  <si>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</si>
  <si>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</si>
  <si>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</si>
  <si>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</si>
  <si>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</si>
  <si>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</si>
  <si>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</si>
  <si>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</si>
  <si>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</si>
  <si>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</si>
  <si>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</si>
  <si>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</si>
  <si>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</si>
  <si>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</si>
  <si>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</si>
  <si>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</si>
  <si>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</si>
  <si>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</si>
  <si>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</si>
  <si>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</si>
  <si>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</si>
  <si>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</si>
  <si>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</si>
  <si>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</si>
  <si>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</si>
  <si>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</si>
  <si>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</si>
  <si>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</si>
  <si>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</si>
  <si>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</si>
  <si>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</si>
  <si>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</si>
  <si>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</si>
  <si>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</si>
  <si>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</si>
  <si>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</si>
  <si>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</si>
  <si>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</si>
  <si>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</si>
  <si>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</si>
  <si>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</si>
  <si>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</si>
  <si>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</si>
  <si>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</si>
  <si>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</si>
  <si>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</si>
  <si>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</si>
  <si>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</si>
  <si>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</si>
  <si>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</si>
  <si>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</si>
  <si>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</si>
  <si>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</si>
  <si>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</si>
  <si>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</si>
  <si>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</si>
  <si>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</si>
  <si>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</si>
  <si>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</si>
  <si>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</si>
  <si>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</si>
  <si>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</si>
  <si>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</si>
  <si>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</si>
  <si>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</si>
  <si>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</si>
  <si>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</si>
  <si>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</si>
  <si>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</si>
  <si>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</si>
  <si>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</si>
  <si>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</si>
  <si>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</si>
  <si>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</si>
  <si>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</si>
  <si>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</si>
  <si>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</si>
  <si>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</si>
  <si>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</si>
  <si>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</si>
  <si>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</si>
  <si>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</si>
  <si>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</si>
  <si>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</si>
  <si>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</si>
  <si>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</si>
  <si>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</si>
  <si>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</si>
  <si>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</si>
  <si>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</si>
  <si>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</si>
  <si>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</si>
  <si>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</si>
  <si>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</si>
  <si>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</si>
  <si>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</si>
  <si>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</si>
  <si>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</si>
  <si>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</si>
  <si>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</si>
  <si>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</si>
  <si>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</si>
  <si>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</si>
  <si>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</si>
  <si>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</si>
  <si>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</si>
  <si>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</si>
  <si>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</si>
  <si>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</si>
  <si>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</si>
  <si>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</si>
  <si>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</si>
  <si>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</si>
  <si>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</si>
  <si>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</si>
  <si>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</si>
  <si>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</si>
  <si>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</si>
  <si>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</si>
  <si>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</si>
  <si>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</si>
  <si>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</si>
  <si>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</si>
  <si>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</si>
  <si>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</si>
  <si>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</si>
  <si>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</si>
  <si>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</si>
  <si>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</si>
  <si>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</si>
  <si>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</si>
  <si>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</si>
  <si>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</si>
  <si>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</si>
  <si>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</si>
  <si>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</si>
  <si>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</si>
  <si>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</si>
  <si>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</si>
  <si>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</si>
  <si>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</si>
  <si>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</si>
  <si>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</si>
  <si>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</si>
  <si>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</si>
  <si>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</si>
  <si>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</si>
  <si>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</si>
  <si>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</si>
  <si>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</si>
  <si>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</si>
  <si>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</si>
  <si>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</si>
  <si>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</si>
  <si>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</si>
  <si>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</si>
  <si>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</si>
  <si>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</si>
  <si>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</si>
  <si>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</si>
  <si>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</si>
  <si>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</si>
  <si>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</si>
  <si>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</si>
  <si>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</si>
  <si>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</si>
  <si>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</si>
  <si>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</si>
  <si>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</si>
  <si>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</si>
  <si>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</si>
  <si>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</si>
  <si>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</si>
  <si>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</si>
  <si>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</si>
  <si>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</si>
  <si>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</si>
  <si>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</si>
  <si>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</si>
  <si>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</si>
  <si>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</si>
  <si>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</si>
  <si>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</si>
  <si>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</si>
  <si>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</si>
  <si>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</si>
  <si>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</si>
  <si>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</si>
  <si>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</si>
  <si>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</si>
  <si>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</si>
  <si>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</si>
  <si>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</si>
  <si>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</si>
  <si>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</si>
  <si>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</si>
  <si>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</si>
  <si>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</si>
  <si>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</si>
  <si>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</si>
  <si>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</si>
  <si>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</si>
  <si>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</si>
  <si>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</si>
  <si>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</si>
  <si>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</si>
  <si>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</si>
  <si>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</si>
  <si>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</si>
  <si>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</si>
  <si>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</si>
  <si>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</si>
  <si>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</si>
  <si>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</si>
  <si>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</si>
  <si>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</si>
  <si>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</si>
  <si>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</si>
  <si>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</si>
  <si>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</si>
  <si>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</si>
  <si>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</si>
  <si>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</si>
  <si>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</si>
  <si>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</si>
  <si>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</si>
  <si>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</si>
  <si>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</si>
  <si>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</si>
  <si>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</si>
  <si>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</si>
  <si>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</si>
  <si>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</si>
  <si>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</si>
  <si>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</si>
  <si>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</si>
  <si>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</si>
  <si>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</si>
  <si>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</si>
  <si>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</si>
  <si>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</si>
  <si>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</si>
  <si>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</si>
  <si>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</si>
  <si>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</si>
  <si>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</si>
  <si>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</si>
  <si>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</si>
  <si>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</si>
  <si>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</si>
  <si>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</si>
  <si>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</si>
  <si>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</si>
  <si>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</si>
  <si>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</si>
  <si>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</si>
  <si>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</si>
  <si>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</si>
  <si>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</si>
  <si>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</si>
  <si>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</si>
  <si>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</si>
  <si>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</si>
  <si>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</si>
  <si>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</si>
  <si>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</si>
  <si>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</si>
  <si>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</si>
  <si>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</si>
  <si>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</si>
  <si>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</si>
  <si>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</si>
  <si>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</si>
  <si>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</si>
  <si>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</si>
  <si>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</si>
  <si>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</si>
  <si>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</si>
  <si>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</si>
  <si>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</si>
  <si>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</si>
  <si>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</si>
  <si>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</si>
  <si>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</si>
  <si>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</si>
  <si>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</si>
  <si>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</si>
  <si>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</si>
  <si>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</si>
  <si>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</si>
  <si>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</si>
  <si>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</si>
  <si>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</si>
  <si>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</si>
  <si>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</si>
  <si>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</si>
  <si>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</si>
  <si>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</si>
  <si>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</si>
  <si>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</si>
  <si>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</si>
  <si>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</si>
  <si>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</si>
  <si>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</si>
  <si>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</si>
  <si>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</si>
  <si>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</si>
  <si>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</si>
  <si>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</si>
  <si>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</si>
  <si>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</si>
  <si>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</si>
  <si>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</si>
  <si>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</si>
  <si>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</si>
  <si>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</si>
  <si>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</si>
  <si>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</si>
  <si>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</si>
  <si>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</si>
  <si>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</si>
  <si>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</si>
  <si>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</si>
  <si>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</si>
  <si>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</si>
  <si>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</si>
  <si>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</si>
  <si>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</si>
  <si>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</si>
  <si>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</si>
  <si>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</si>
  <si>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</si>
  <si>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</si>
  <si>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</si>
  <si>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</si>
  <si>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</si>
  <si>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</si>
  <si>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</si>
  <si>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</si>
  <si>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</si>
  <si>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</si>
  <si>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</si>
  <si>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</si>
  <si>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</si>
  <si>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</si>
  <si>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</si>
  <si>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</si>
  <si>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</si>
  <si>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</si>
  <si>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</si>
  <si>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</si>
  <si>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</si>
  <si>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</si>
  <si>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</si>
  <si>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</si>
  <si>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</si>
  <si>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</si>
  <si>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</si>
  <si>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</si>
  <si>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</si>
  <si>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</si>
  <si>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</si>
  <si>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</si>
  <si>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</si>
  <si>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</si>
  <si>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</si>
  <si>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</si>
  <si>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</si>
  <si>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</si>
  <si>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</si>
  <si>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</si>
  <si>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</si>
  <si>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</si>
  <si>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</si>
  <si>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</si>
  <si>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</si>
  <si>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</si>
  <si>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</si>
  <si>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</si>
  <si>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</si>
  <si>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</si>
  <si>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</si>
  <si>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</si>
  <si>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</si>
  <si>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</si>
  <si>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</si>
  <si>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</si>
  <si>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</si>
  <si>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</si>
  <si>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</si>
  <si>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</si>
  <si>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</si>
  <si>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</si>
  <si>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</si>
  <si>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</si>
  <si>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</si>
  <si>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</si>
  <si>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</si>
  <si>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</si>
  <si>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</si>
  <si>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</si>
  <si>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</si>
  <si>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</si>
  <si>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</si>
  <si>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</si>
  <si>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</si>
  <si>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</si>
  <si>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</si>
  <si>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</si>
  <si>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</si>
  <si>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</si>
  <si>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</si>
  <si>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</si>
  <si>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</si>
  <si>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</si>
  <si>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</si>
  <si>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</si>
  <si>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</si>
  <si>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</si>
  <si>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</si>
  <si>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</si>
  <si>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</si>
  <si>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</si>
  <si>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</si>
  <si>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</si>
  <si>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</si>
  <si>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</si>
  <si>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</si>
  <si>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</si>
  <si>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</si>
  <si>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</si>
  <si>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</si>
  <si>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</si>
  <si>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</si>
  <si>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</si>
  <si>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</si>
  <si>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</si>
  <si>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</si>
  <si>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</si>
  <si>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</si>
  <si>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</si>
  <si>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</si>
  <si>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</si>
  <si>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</si>
  <si>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</si>
  <si>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</si>
  <si>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</si>
  <si>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</si>
  <si>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</si>
  <si>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</si>
  <si>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</si>
  <si>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</si>
  <si>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</si>
  <si>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</si>
  <si>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</si>
  <si>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</si>
  <si>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</si>
  <si>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</si>
  <si>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</si>
  <si>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</si>
  <si>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</si>
  <si>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</si>
  <si>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</si>
  <si>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</si>
  <si>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</si>
  <si>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</si>
  <si>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</si>
  <si>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</si>
  <si>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</si>
  <si>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</si>
  <si>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</si>
  <si>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</si>
  <si>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</si>
  <si>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</si>
  <si>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</si>
  <si>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</si>
  <si>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</si>
  <si>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</si>
  <si>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</si>
  <si>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</si>
  <si>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</si>
  <si>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</si>
  <si>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</si>
  <si>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</si>
  <si>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</si>
  <si>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</si>
  <si>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</si>
  <si>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</si>
  <si>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</si>
  <si>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</si>
  <si>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</si>
  <si>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</si>
  <si>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</si>
  <si>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</si>
  <si>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</si>
  <si>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</si>
  <si>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</si>
  <si>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</si>
  <si>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</si>
  <si>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</si>
  <si>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</si>
  <si>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</si>
  <si>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</si>
  <si>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</si>
  <si>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</si>
  <si>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</si>
  <si>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</si>
  <si>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</si>
  <si>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</si>
  <si>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</si>
  <si>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</si>
  <si>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</si>
  <si>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</si>
  <si>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</si>
  <si>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</si>
  <si>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</si>
  <si>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</si>
  <si>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</si>
  <si>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</si>
  <si>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</si>
  <si>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</si>
  <si>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</si>
  <si>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</si>
  <si>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</si>
  <si>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</si>
  <si>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</si>
  <si>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</si>
  <si>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</si>
  <si>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</si>
  <si>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</si>
  <si>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</si>
  <si>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</si>
  <si>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</si>
  <si>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</si>
  <si>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</si>
  <si>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</si>
  <si>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</si>
  <si>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</si>
  <si>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</si>
  <si>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</si>
  <si>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</si>
  <si>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</si>
  <si>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</si>
  <si>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</si>
  <si>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</si>
  <si>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</si>
  <si>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</si>
  <si>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</si>
  <si>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</si>
  <si>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</si>
  <si>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</si>
  <si>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</si>
  <si>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</si>
  <si>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</si>
  <si>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</si>
  <si>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</si>
  <si>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</si>
  <si>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</si>
  <si>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</si>
  <si>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</si>
  <si>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</si>
  <si>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</si>
  <si>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</si>
  <si>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</si>
  <si>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</si>
  <si>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</si>
  <si>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</si>
  <si>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</si>
  <si>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</si>
  <si>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</si>
  <si>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</si>
  <si>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</si>
  <si>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</si>
  <si>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</si>
  <si>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</si>
  <si>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</si>
  <si>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</si>
  <si>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</si>
  <si>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</si>
  <si>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</si>
  <si>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</si>
  <si>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</si>
  <si>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</si>
  <si>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</si>
  <si>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</si>
  <si>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</si>
  <si>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</si>
  <si>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</si>
  <si>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</si>
  <si>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</si>
  <si>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</si>
  <si>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</si>
  <si>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</si>
  <si>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</si>
  <si>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</si>
  <si>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</si>
  <si>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</si>
  <si>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</si>
  <si>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</si>
  <si>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</si>
  <si>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</si>
  <si>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</si>
  <si>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</si>
  <si>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</si>
  <si>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</si>
  <si>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</si>
  <si>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</si>
  <si>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</si>
  <si>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</si>
  <si>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</si>
  <si>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</si>
  <si>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</si>
  <si>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</si>
  <si>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</si>
  <si>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</si>
  <si>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</si>
  <si>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</si>
  <si>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</si>
  <si>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</si>
  <si>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</si>
  <si>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</si>
  <si>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</si>
  <si>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</si>
  <si>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</si>
  <si>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</si>
  <si>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</si>
  <si>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</si>
  <si>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</si>
  <si>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</si>
  <si>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</si>
  <si>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</si>
  <si>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</si>
  <si>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</si>
  <si>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</si>
  <si>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</si>
  <si>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</si>
  <si>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</si>
  <si>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</si>
  <si>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</si>
  <si>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</si>
  <si>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</si>
  <si>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</si>
  <si>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</si>
  <si>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</si>
  <si>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</si>
  <si>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</si>
  <si>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</si>
  <si>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</si>
  <si>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</si>
  <si>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</si>
  <si>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</si>
  <si>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</si>
  <si>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</si>
  <si>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</si>
  <si>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</si>
  <si>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</si>
  <si>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</si>
  <si>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</si>
  <si>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</si>
  <si>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</si>
  <si>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</si>
  <si>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</si>
  <si>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</si>
  <si>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</si>
  <si>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</si>
  <si>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</si>
  <si>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</si>
  <si>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</si>
  <si>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</si>
  <si>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</si>
  <si>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</si>
  <si>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</si>
  <si>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</si>
  <si>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</si>
  <si>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</si>
  <si>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</si>
  <si>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</si>
  <si>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</si>
  <si>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</si>
  <si>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</si>
  <si>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</si>
  <si>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</si>
  <si>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</si>
  <si>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</si>
  <si>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</si>
  <si>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</si>
  <si>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</si>
  <si>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</si>
  <si>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</si>
  <si>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</si>
  <si>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</si>
  <si>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</si>
  <si>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</si>
  <si>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</si>
  <si>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</si>
  <si>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</si>
  <si>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</si>
  <si>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</si>
  <si>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</si>
  <si>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</si>
  <si>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</si>
  <si>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</si>
  <si>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</si>
  <si>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</si>
  <si>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</si>
  <si>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</si>
  <si>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</si>
  <si>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</si>
  <si>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</si>
  <si>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</si>
  <si>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</si>
  <si>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</si>
  <si>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</si>
  <si>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</si>
  <si>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</si>
  <si>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</si>
  <si>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</si>
  <si>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</si>
  <si>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</si>
  <si>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</si>
  <si>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</si>
  <si>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</si>
  <si>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</si>
  <si>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</si>
  <si>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</si>
  <si>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</si>
  <si>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</si>
  <si>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</si>
  <si>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</si>
  <si>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</si>
  <si>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</si>
  <si>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</si>
  <si>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</si>
  <si>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</si>
  <si>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</si>
  <si>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</si>
  <si>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</si>
  <si>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</si>
  <si>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</si>
  <si>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</si>
  <si>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</si>
  <si>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</si>
  <si>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</si>
  <si>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</si>
  <si>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</si>
  <si>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</si>
  <si>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</si>
  <si>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</si>
  <si>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</si>
  <si>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</si>
  <si>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</si>
  <si>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</si>
  <si>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</si>
  <si>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</si>
  <si>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</si>
  <si>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</si>
  <si>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</si>
  <si>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</si>
  <si>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</si>
  <si>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</si>
  <si>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</si>
  <si>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</si>
  <si>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</si>
  <si>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</si>
  <si>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</si>
  <si>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</si>
  <si>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</si>
  <si>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</si>
  <si>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</si>
  <si>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</si>
  <si>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</si>
  <si>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</si>
  <si>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</si>
  <si>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</si>
  <si>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</si>
  <si>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</si>
  <si>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</si>
  <si>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</si>
  <si>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</si>
  <si>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</si>
  <si>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</si>
  <si>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</si>
  <si>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</si>
  <si>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</si>
  <si>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</si>
  <si>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</si>
  <si>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</si>
  <si>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</si>
  <si>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</si>
  <si>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</si>
  <si>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</si>
  <si>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</si>
  <si>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</si>
  <si>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</si>
  <si>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</si>
  <si>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</si>
  <si>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</si>
  <si>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</si>
  <si>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</si>
  <si>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</si>
  <si>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</si>
  <si>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</si>
  <si>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</si>
  <si>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</si>
  <si>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</si>
  <si>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</si>
  <si>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</si>
  <si>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</si>
  <si>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</si>
  <si>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</si>
  <si>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</si>
  <si>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</si>
  <si>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</si>
  <si>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</si>
  <si>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</si>
  <si>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</si>
  <si>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</si>
  <si>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</si>
  <si>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</si>
  <si>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</si>
  <si>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</si>
  <si>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</si>
  <si>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</si>
  <si>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</si>
  <si>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</si>
  <si>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</si>
  <si>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</si>
  <si>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</si>
  <si>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</si>
  <si>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</si>
  <si>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</si>
  <si>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</si>
  <si>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</si>
  <si>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</si>
  <si>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</si>
  <si>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</si>
  <si>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</si>
  <si>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</si>
  <si>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</si>
  <si>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</si>
  <si>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</si>
  <si>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</si>
  <si>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</si>
  <si>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</si>
  <si>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</si>
  <si>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</si>
  <si>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</si>
  <si>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</si>
  <si>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</si>
  <si>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</si>
  <si>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</si>
  <si>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</si>
  <si>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</si>
  <si>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</si>
  <si>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</si>
  <si>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</si>
  <si>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</si>
  <si>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</si>
  <si>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</si>
  <si>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</si>
  <si>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</si>
  <si>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</si>
  <si>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</si>
  <si>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</si>
  <si>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</si>
  <si>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</si>
  <si>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</si>
  <si>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</si>
  <si>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</si>
  <si>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</si>
  <si>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</si>
  <si>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</si>
  <si>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</si>
  <si>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</si>
  <si>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</si>
  <si>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</si>
  <si>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</si>
  <si>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</si>
  <si>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</si>
  <si>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</si>
  <si>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</si>
  <si>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</si>
  <si>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</si>
  <si>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</si>
  <si>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</si>
  <si>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</si>
  <si>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</si>
  <si>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</si>
  <si>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</si>
  <si>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</si>
  <si>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</si>
  <si>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</si>
  <si>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</si>
  <si>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</si>
  <si>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</si>
  <si>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</si>
  <si>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</si>
  <si>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</si>
  <si>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</si>
  <si>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</si>
  <si>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</si>
  <si>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</si>
  <si>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</si>
  <si>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</si>
  <si>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</si>
  <si>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</si>
  <si>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</si>
  <si>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</si>
  <si>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</si>
  <si>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</si>
  <si>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</si>
  <si>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</si>
  <si>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</si>
  <si>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</si>
  <si>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</si>
  <si>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</si>
  <si>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</si>
  <si>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</si>
  <si>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</si>
  <si>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</si>
  <si>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</si>
  <si>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</si>
  <si>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</si>
  <si>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</si>
  <si>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</si>
  <si>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</si>
  <si>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</si>
  <si>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</si>
  <si>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</si>
  <si>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</si>
  <si>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</si>
  <si>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</si>
  <si>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</si>
  <si>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</si>
  <si>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</si>
  <si>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</si>
  <si>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</si>
  <si>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</si>
  <si>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</si>
  <si>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</si>
  <si>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</si>
  <si>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</si>
  <si>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</si>
  <si>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</si>
  <si>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</si>
  <si>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</si>
  <si>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</si>
  <si>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</si>
  <si>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</si>
  <si>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</si>
  <si>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</si>
  <si>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</si>
  <si>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</si>
  <si>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</si>
  <si>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</si>
  <si>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</si>
  <si>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</si>
  <si>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</si>
  <si>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</si>
  <si>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</si>
  <si>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</si>
  <si>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</si>
  <si>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</si>
  <si>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</si>
  <si>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</si>
  <si>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</si>
  <si>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</si>
  <si>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</si>
  <si>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</si>
  <si>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</si>
  <si>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</si>
  <si>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</si>
  <si>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</si>
  <si>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</si>
  <si>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</si>
  <si>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</si>
  <si>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</si>
  <si>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</si>
  <si>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</si>
  <si>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</si>
  <si>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</si>
  <si>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</si>
  <si>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</si>
  <si>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</si>
  <si>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</si>
  <si>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</si>
  <si>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</si>
  <si>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</si>
  <si>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</si>
  <si>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</si>
  <si>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</si>
  <si>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</si>
  <si>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</si>
  <si>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</si>
  <si>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</si>
  <si>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</si>
  <si>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</si>
  <si>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</si>
  <si>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</si>
  <si>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</si>
  <si>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</si>
  <si>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</si>
  <si>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</si>
  <si>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</si>
  <si>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</si>
  <si>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</si>
  <si>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</si>
  <si>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</si>
  <si>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</si>
  <si>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</si>
  <si>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</si>
  <si>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</si>
  <si>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</si>
  <si>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</si>
  <si>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</si>
  <si>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</si>
  <si>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</si>
  <si>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</si>
  <si>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</si>
  <si>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</si>
  <si>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</si>
  <si>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</si>
  <si>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</si>
  <si>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</si>
  <si>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</si>
  <si>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</si>
  <si>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</si>
  <si>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</si>
  <si>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</si>
  <si>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</si>
  <si>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</si>
  <si>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</si>
  <si>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</si>
  <si>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</si>
  <si>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</si>
  <si>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</si>
  <si>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</si>
  <si>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</si>
  <si>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</si>
  <si>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</si>
  <si>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</si>
  <si>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</si>
  <si>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</si>
  <si>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</si>
  <si>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</si>
  <si>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</si>
  <si>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</si>
  <si>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</si>
  <si>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</si>
  <si>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</si>
  <si>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</si>
  <si>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</si>
  <si>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</si>
  <si>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</si>
  <si>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</si>
  <si>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</si>
  <si>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</si>
  <si>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</si>
  <si>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</si>
  <si>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</si>
  <si>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</si>
  <si>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</si>
  <si>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</si>
  <si>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</si>
  <si>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</si>
  <si>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</si>
  <si>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</si>
  <si>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</si>
  <si>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</si>
  <si>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</si>
  <si>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</si>
  <si>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</si>
  <si>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</si>
  <si>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</si>
  <si>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</si>
  <si>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</si>
  <si>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</si>
  <si>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</si>
  <si>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</si>
  <si>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</si>
  <si>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</si>
  <si>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</si>
  <si>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</si>
  <si>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</si>
  <si>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</si>
  <si>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</si>
  <si>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</si>
  <si>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</si>
  <si>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</si>
  <si>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</si>
  <si>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</si>
  <si>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</si>
  <si>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</si>
  <si>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</si>
  <si>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</si>
  <si>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</si>
  <si>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</si>
  <si>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</si>
  <si>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</si>
  <si>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</si>
  <si>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</si>
  <si>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</si>
  <si>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</si>
  <si>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</si>
  <si>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</si>
  <si>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</si>
  <si>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</si>
  <si>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</si>
  <si>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</si>
  <si>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</si>
  <si>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</si>
  <si>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</si>
  <si>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</si>
  <si>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</si>
  <si>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</si>
  <si>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</si>
  <si>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</si>
  <si>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</si>
  <si>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</si>
  <si>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</si>
  <si>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</si>
  <si>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</si>
  <si>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</si>
  <si>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</si>
  <si>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</si>
  <si>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</si>
  <si>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</si>
  <si>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</si>
  <si>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</si>
  <si>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</si>
  <si>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</si>
  <si>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</si>
  <si>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</si>
  <si>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</si>
  <si>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</si>
  <si>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</si>
  <si>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</si>
  <si>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</si>
  <si>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</si>
  <si>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</si>
  <si>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</si>
  <si>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</si>
  <si>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</si>
  <si>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</si>
  <si>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</si>
  <si>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</si>
  <si>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</si>
  <si>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</si>
  <si>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</si>
  <si>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</si>
  <si>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</si>
  <si>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</si>
  <si>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</si>
  <si>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</si>
  <si>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</si>
  <si>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</si>
  <si>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</si>
  <si>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</si>
  <si>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</si>
  <si>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</si>
  <si>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</si>
  <si>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</si>
  <si>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</si>
  <si>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</si>
  <si>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</si>
  <si>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</si>
  <si>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</si>
  <si>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</si>
  <si>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</si>
  <si>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</si>
  <si>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</si>
  <si>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</si>
  <si>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</si>
  <si>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</si>
  <si>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</si>
  <si>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</si>
  <si>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</si>
  <si>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</si>
  <si>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</si>
  <si>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</si>
  <si>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</si>
  <si>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</si>
  <si>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</si>
  <si>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</si>
  <si>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</si>
  <si>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</si>
  <si>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</si>
  <si>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</si>
  <si>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</si>
  <si>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</si>
  <si>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</si>
  <si>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</si>
  <si>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</si>
  <si>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</si>
  <si>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</si>
  <si>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</si>
  <si>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</si>
  <si>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</si>
  <si>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</si>
  <si>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</si>
  <si>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</si>
  <si>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</si>
  <si>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</si>
  <si>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</si>
  <si>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</si>
  <si>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</si>
  <si>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</si>
  <si>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</si>
  <si>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</si>
  <si>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</si>
  <si>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</si>
  <si>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</si>
  <si>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</si>
  <si>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</si>
  <si>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</si>
  <si>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</si>
  <si>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</si>
  <si>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</si>
  <si>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</si>
  <si>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</si>
  <si>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</si>
  <si>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</si>
  <si>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</si>
  <si>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</si>
  <si>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</si>
  <si>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</si>
  <si>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</si>
  <si>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</si>
  <si>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</si>
  <si>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</si>
  <si>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</si>
  <si>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</si>
  <si>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</si>
  <si>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</si>
  <si>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</si>
  <si>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</si>
  <si>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</si>
  <si>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</si>
  <si>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</si>
  <si>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</si>
  <si>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</si>
  <si>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</si>
  <si>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</si>
  <si>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</si>
  <si>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</si>
  <si>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</si>
  <si>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</si>
  <si>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</si>
  <si>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</si>
  <si>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</si>
  <si>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</si>
  <si>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</si>
  <si>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</si>
  <si>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</si>
  <si>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</si>
  <si>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</si>
  <si>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</si>
  <si>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</si>
  <si>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</si>
  <si>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</si>
  <si>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</si>
  <si>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</si>
  <si>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</si>
  <si>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</si>
  <si>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</si>
  <si>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</si>
  <si>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</si>
  <si>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</si>
  <si>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</si>
  <si>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</si>
  <si>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</si>
  <si>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</si>
  <si>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</si>
  <si>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</si>
  <si>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</si>
  <si>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</si>
  <si>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</si>
  <si>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</si>
  <si>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</si>
  <si>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</si>
  <si>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</si>
  <si>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</si>
  <si>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</si>
  <si>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</si>
  <si>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</si>
  <si>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</si>
  <si>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</si>
  <si>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</si>
  <si>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</si>
  <si>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</si>
  <si>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</si>
  <si>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</si>
  <si>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</si>
  <si>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</si>
  <si>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</si>
  <si>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</si>
  <si>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</si>
  <si>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</si>
  <si>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</si>
  <si>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</si>
  <si>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</si>
  <si>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</si>
  <si>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</si>
  <si>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</si>
  <si>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</si>
  <si>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</si>
  <si>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</si>
  <si>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</si>
  <si>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</si>
  <si>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</si>
  <si>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</si>
  <si>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</si>
  <si>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</si>
  <si>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</si>
  <si>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</si>
  <si>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</si>
  <si>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</si>
  <si>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</si>
  <si>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</si>
  <si>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</si>
  <si>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</si>
  <si>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</si>
  <si>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</si>
  <si>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</si>
  <si>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</si>
  <si>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</si>
  <si>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</si>
  <si>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</si>
  <si>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</si>
  <si>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</si>
  <si>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</si>
  <si>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</si>
  <si>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</si>
  <si>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</si>
  <si>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</si>
  <si>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</si>
  <si>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</si>
  <si>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</si>
  <si>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</si>
  <si>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</si>
  <si>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</si>
  <si>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</si>
  <si>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</si>
  <si>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</si>
  <si>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</si>
  <si>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</si>
  <si>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</si>
  <si>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</si>
  <si>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</si>
  <si>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</si>
  <si>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</si>
  <si>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</si>
  <si>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</si>
  <si>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</si>
  <si>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</si>
  <si>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</si>
  <si>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</si>
  <si>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</si>
  <si>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</si>
  <si>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</si>
  <si>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</si>
  <si>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</si>
  <si>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</si>
  <si>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</si>
  <si>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</si>
  <si>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</si>
  <si>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</si>
  <si>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</si>
  <si>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</si>
  <si>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</si>
  <si>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</si>
  <si>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</si>
  <si>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</si>
  <si>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</si>
  <si>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</si>
  <si>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</si>
  <si>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</si>
  <si>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</si>
  <si>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</si>
  <si>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</si>
  <si>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</si>
  <si>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</si>
  <si>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</si>
  <si>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</si>
  <si>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</si>
  <si>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</si>
  <si>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</si>
  <si>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</si>
  <si>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</si>
  <si>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</si>
  <si>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</si>
  <si>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</si>
  <si>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</si>
  <si>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</si>
  <si>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</si>
  <si>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</si>
  <si>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</si>
  <si>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</si>
  <si>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</si>
  <si>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</si>
  <si>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</si>
  <si>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</si>
  <si>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</si>
  <si>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</si>
  <si>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</si>
  <si>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</si>
  <si>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</si>
  <si>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</si>
  <si>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</si>
  <si>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</si>
  <si>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</si>
  <si>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</si>
  <si>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</si>
  <si>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</si>
  <si>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</si>
  <si>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</si>
  <si>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</si>
  <si>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</si>
  <si>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</si>
  <si>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</si>
  <si>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</si>
  <si>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</si>
  <si>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</si>
  <si>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</si>
  <si>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</si>
  <si>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</si>
  <si>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</si>
  <si>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</si>
  <si>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</si>
  <si>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</si>
  <si>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</si>
  <si>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</si>
  <si>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</si>
  <si>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</si>
  <si>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</si>
  <si>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</si>
  <si>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</si>
  <si>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</si>
  <si>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</si>
  <si>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</si>
  <si>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</si>
  <si>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</si>
  <si>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</si>
  <si>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</si>
  <si>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</si>
  <si>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</si>
  <si>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</si>
  <si>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</si>
  <si>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</si>
  <si>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</si>
  <si>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</si>
  <si>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</si>
  <si>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</si>
  <si>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</si>
  <si>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</si>
  <si>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</si>
  <si>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</si>
  <si>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</si>
  <si>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</si>
  <si>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</si>
  <si>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</si>
  <si>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</si>
  <si>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</si>
  <si>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</si>
  <si>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</si>
  <si>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</si>
  <si>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</si>
  <si>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</si>
  <si>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</si>
  <si>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</si>
  <si>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</si>
  <si>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</si>
  <si>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</si>
  <si>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</si>
  <si>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</si>
  <si>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</si>
  <si>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</si>
  <si>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</si>
  <si>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</si>
  <si>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</si>
  <si>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</si>
  <si>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</si>
  <si>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</si>
  <si>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</si>
  <si>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</si>
  <si>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</si>
  <si>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</si>
  <si>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</si>
  <si>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</si>
  <si>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</si>
  <si>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</si>
  <si>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</si>
  <si>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</si>
  <si>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</si>
  <si>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</si>
  <si>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</si>
  <si>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</si>
  <si>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</si>
  <si>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</si>
  <si>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</si>
  <si>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</si>
  <si>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</si>
  <si>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</si>
  <si>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</si>
  <si>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</si>
  <si>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</si>
  <si>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</si>
  <si>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</si>
  <si>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</si>
  <si>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</si>
  <si>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</si>
  <si>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</si>
  <si>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</si>
  <si>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</si>
  <si>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</si>
  <si>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</si>
  <si>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</si>
  <si>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</si>
  <si>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</si>
  <si>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</si>
  <si>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</si>
  <si>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</si>
  <si>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</si>
  <si>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</si>
  <si>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</si>
  <si>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</si>
  <si>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</si>
  <si>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</si>
  <si>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</si>
  <si>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</si>
  <si>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</si>
  <si>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</si>
  <si>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</si>
  <si>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</si>
  <si>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</si>
  <si>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</si>
  <si>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</si>
  <si>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</si>
  <si>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</si>
  <si>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</si>
  <si>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</si>
  <si>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</si>
  <si>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</si>
  <si>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</si>
  <si>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</si>
  <si>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</si>
  <si>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</si>
  <si>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</si>
  <si>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</si>
  <si>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</si>
  <si>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</si>
  <si>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</si>
  <si>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</si>
  <si>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</si>
  <si>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</si>
  <si>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</si>
  <si>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</si>
  <si>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</si>
  <si>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</si>
  <si>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</si>
  <si>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</si>
  <si>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</si>
  <si>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</si>
  <si>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</si>
  <si>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</si>
  <si>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</si>
  <si>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</si>
  <si>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</si>
  <si>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</si>
  <si>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</si>
  <si>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</si>
  <si>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</si>
  <si>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</si>
  <si>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</si>
  <si>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</si>
  <si>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</si>
  <si>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</si>
  <si>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</si>
  <si>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</si>
  <si>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</si>
  <si>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</si>
  <si>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</si>
  <si>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</si>
  <si>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</si>
  <si>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</si>
  <si>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</si>
  <si>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</si>
  <si>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</si>
  <si>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</si>
  <si>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</si>
  <si>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</si>
  <si>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</si>
  <si>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</si>
  <si>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</si>
  <si>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</si>
  <si>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</si>
  <si>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</si>
  <si>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</si>
  <si>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</si>
  <si>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</si>
  <si>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</si>
  <si>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</si>
  <si>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</si>
  <si>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</si>
  <si>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</si>
  <si>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</si>
  <si>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</si>
  <si>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</si>
  <si>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</si>
  <si>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</si>
  <si>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</si>
  <si>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</si>
  <si>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</si>
  <si>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</si>
  <si>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</si>
  <si>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</si>
  <si>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</si>
  <si>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</si>
  <si>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</si>
  <si>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</si>
  <si>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</si>
  <si>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</si>
  <si>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</si>
  <si>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</si>
  <si>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</si>
  <si>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</si>
  <si>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</si>
  <si>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</si>
  <si>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</si>
  <si>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</si>
  <si>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</si>
  <si>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</si>
  <si>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</si>
  <si>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</si>
  <si>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</si>
  <si>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</si>
  <si>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</si>
  <si>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</si>
  <si>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</si>
  <si>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</si>
  <si>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</si>
  <si>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</si>
  <si>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</si>
  <si>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</si>
  <si>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</si>
  <si>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</si>
  <si>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</si>
  <si>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</si>
  <si>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</si>
  <si>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</si>
  <si>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</si>
  <si>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</si>
  <si>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</si>
  <si>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</si>
  <si>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</si>
  <si>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</si>
  <si>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</si>
  <si>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</si>
  <si>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</si>
  <si>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</si>
  <si>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</si>
  <si>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</si>
  <si>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</si>
  <si>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</si>
  <si>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</si>
  <si>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</si>
  <si>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</si>
  <si>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</si>
  <si>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</si>
  <si>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</si>
  <si>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</si>
  <si>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</si>
  <si>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</si>
  <si>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</si>
  <si>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</si>
  <si>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</si>
  <si>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</si>
  <si>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</si>
  <si>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</si>
  <si>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</si>
  <si>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</si>
  <si>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</si>
  <si>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</si>
  <si>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</si>
  <si>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</si>
  <si>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</si>
  <si>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</si>
  <si>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</si>
  <si>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</si>
  <si>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</si>
  <si>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</si>
  <si>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</si>
  <si>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</si>
  <si>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</si>
  <si>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</si>
  <si>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</si>
  <si>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</si>
  <si>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</si>
  <si>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</si>
  <si>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</si>
  <si>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</si>
  <si>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</si>
  <si>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</si>
  <si>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</si>
  <si>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</si>
  <si>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</si>
  <si>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</si>
  <si>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</si>
  <si>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</si>
  <si>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</si>
  <si>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</si>
  <si>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</si>
  <si>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</si>
  <si>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</si>
  <si>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</si>
  <si>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</si>
  <si>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</si>
  <si>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</si>
  <si>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</si>
  <si>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</si>
  <si>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</si>
  <si>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</si>
  <si>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</si>
  <si>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</si>
  <si>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</si>
  <si>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</si>
  <si>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</si>
  <si>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</si>
  <si>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</si>
  <si>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</si>
  <si>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</si>
  <si>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</si>
  <si>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</si>
  <si>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</si>
  <si>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</si>
  <si>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</si>
  <si>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</si>
  <si>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</si>
  <si>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</si>
  <si>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</si>
  <si>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</si>
  <si>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</si>
  <si>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</si>
  <si>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</si>
  <si>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</si>
  <si>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</si>
  <si>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</si>
  <si>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</si>
  <si>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</si>
  <si>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</si>
  <si>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</si>
  <si>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</si>
  <si>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</si>
  <si>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</si>
  <si>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</si>
  <si>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</si>
  <si>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</si>
  <si>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</si>
  <si>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</si>
  <si>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</si>
  <si>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</si>
  <si>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</si>
  <si>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</si>
  <si>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</si>
  <si>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</si>
  <si>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</si>
  <si>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</si>
  <si>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</si>
  <si>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</si>
  <si>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</si>
  <si>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</si>
  <si>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</si>
  <si>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</si>
  <si>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</si>
  <si>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</si>
  <si>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</si>
  <si>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</si>
  <si>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</si>
  <si>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</si>
  <si>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</si>
  <si>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</si>
  <si>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</si>
  <si>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</si>
  <si>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</si>
  <si>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</si>
  <si>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</si>
  <si>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</si>
  <si>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</si>
  <si>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</si>
  <si>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</si>
  <si>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</si>
  <si>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</si>
  <si>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</si>
  <si>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</si>
  <si>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</si>
  <si>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</si>
  <si>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</si>
  <si>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</si>
  <si>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</si>
  <si>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</si>
  <si>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</si>
  <si>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</si>
  <si>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</si>
  <si>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</si>
  <si>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</si>
  <si>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</si>
  <si>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</si>
  <si>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</si>
  <si>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</si>
  <si>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</si>
  <si>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</si>
  <si>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</si>
  <si>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</si>
  <si>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</si>
  <si>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</si>
  <si>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</si>
  <si>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</si>
  <si>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</si>
  <si>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</si>
  <si>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</si>
  <si>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</si>
  <si>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</si>
  <si>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</si>
  <si>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</si>
  <si>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</si>
  <si>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</si>
  <si>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</si>
  <si>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</si>
  <si>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</si>
  <si>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</si>
  <si>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</si>
  <si>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</si>
  <si>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</si>
  <si>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</si>
  <si>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</si>
  <si>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</si>
  <si>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</si>
  <si>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</si>
  <si>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</si>
  <si>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</si>
  <si>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</si>
  <si>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</si>
  <si>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</si>
  <si>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</si>
  <si>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</si>
  <si>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</si>
  <si>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</si>
  <si>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</si>
  <si>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</si>
  <si>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</si>
  <si>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</si>
  <si>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</si>
  <si>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</si>
  <si>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</si>
  <si>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</si>
  <si>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</si>
  <si>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</si>
  <si>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</si>
  <si>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</si>
  <si>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</si>
  <si>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</si>
  <si>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</si>
  <si>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</si>
  <si>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</si>
  <si>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</si>
  <si>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</si>
  <si>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</si>
  <si>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</si>
  <si>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</si>
  <si>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</si>
  <si>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</si>
  <si>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</si>
  <si>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</si>
  <si>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</si>
  <si>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</si>
  <si>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</si>
  <si>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</si>
  <si>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</si>
  <si>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</si>
  <si>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</si>
  <si>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</si>
  <si>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</si>
  <si>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</si>
  <si>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</si>
  <si>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</si>
  <si>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</si>
  <si>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</si>
  <si>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</si>
  <si>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</si>
  <si>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</si>
  <si>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</si>
  <si>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</si>
  <si>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</si>
  <si>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</si>
  <si>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</si>
  <si>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</si>
  <si>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</si>
  <si>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</si>
  <si>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</si>
  <si>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</si>
  <si>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</si>
  <si>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</si>
  <si>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</si>
  <si>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</si>
  <si>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</si>
  <si>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</si>
  <si>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</si>
  <si>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</si>
  <si>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</si>
  <si>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</si>
  <si>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</si>
  <si>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</si>
  <si>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</si>
  <si>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</si>
  <si>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</si>
  <si>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</si>
  <si>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</si>
  <si>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</si>
  <si>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</si>
  <si>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</si>
  <si>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</si>
  <si>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</si>
  <si>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</si>
  <si>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</si>
  <si>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</si>
  <si>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</si>
  <si>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</si>
  <si>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</si>
  <si>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</si>
  <si>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</si>
  <si>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</si>
  <si>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</si>
  <si>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</si>
  <si>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</si>
  <si>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</si>
  <si>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</si>
  <si>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</si>
  <si>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</si>
  <si>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</si>
  <si>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</si>
  <si>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</si>
  <si>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</si>
  <si>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</si>
  <si>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</si>
  <si>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</si>
  <si>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</si>
  <si>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</si>
  <si>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</si>
  <si>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</si>
  <si>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</si>
  <si>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</si>
  <si>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</si>
  <si>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</si>
  <si>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</si>
  <si>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</si>
  <si>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</si>
  <si>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</si>
  <si>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</si>
  <si>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</si>
  <si>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</si>
  <si>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</si>
  <si>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</si>
  <si>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</si>
  <si>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</si>
  <si>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</si>
  <si>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</si>
  <si>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</si>
  <si>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</si>
  <si>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</si>
  <si>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</si>
  <si>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</si>
  <si>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</si>
  <si>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</si>
  <si>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</si>
  <si>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</si>
  <si>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</si>
  <si>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</si>
  <si>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</si>
  <si>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</si>
  <si>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</si>
  <si>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</si>
  <si>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</si>
  <si>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</si>
  <si>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</si>
  <si>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</si>
  <si>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</si>
  <si>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</si>
  <si>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</si>
  <si>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</si>
  <si>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</si>
  <si>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</si>
  <si>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</si>
  <si>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</si>
  <si>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</si>
  <si>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</si>
  <si>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</si>
  <si>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</si>
  <si>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</si>
  <si>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</si>
  <si>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</si>
  <si>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</si>
  <si>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</si>
  <si>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</si>
  <si>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</si>
  <si>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</si>
  <si>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</si>
  <si>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</si>
  <si>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</si>
  <si>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</si>
  <si>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</si>
  <si>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</si>
  <si>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</si>
  <si>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</si>
  <si>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</si>
  <si>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</si>
  <si>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</si>
  <si>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</si>
  <si>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</si>
  <si>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</si>
  <si>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</si>
  <si>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</si>
  <si>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</si>
  <si>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</si>
  <si>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</si>
  <si>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</si>
  <si>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</si>
  <si>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</si>
  <si>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</si>
  <si>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</si>
  <si>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</si>
  <si>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</si>
  <si>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</si>
  <si>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</si>
  <si>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</si>
  <si>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</si>
  <si>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</si>
  <si>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</si>
  <si>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</si>
  <si>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</si>
  <si>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</si>
  <si>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</si>
  <si>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</si>
  <si>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</si>
  <si>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</si>
  <si>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</si>
  <si>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</si>
  <si>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</si>
  <si>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</si>
  <si>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</si>
  <si>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</si>
  <si>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</si>
  <si>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</si>
  <si>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</si>
  <si>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</si>
  <si>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</si>
  <si>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</si>
  <si>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</si>
  <si>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</si>
  <si>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</si>
  <si>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</si>
  <si>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</si>
  <si>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</si>
  <si>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</si>
  <si>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</si>
  <si>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</si>
  <si>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</si>
  <si>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</si>
  <si>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</si>
  <si>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</si>
  <si>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</si>
  <si>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</si>
  <si>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</si>
  <si>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</si>
  <si>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</si>
  <si>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</si>
  <si>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</si>
  <si>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</si>
  <si>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</si>
  <si>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</si>
  <si>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</si>
  <si>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</si>
  <si>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</si>
  <si>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</si>
  <si>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</si>
  <si>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</si>
  <si>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</si>
  <si>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</si>
  <si>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</si>
  <si>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</si>
  <si>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</si>
  <si>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</si>
  <si>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</si>
  <si>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</si>
  <si>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</si>
  <si>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</si>
  <si>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</si>
  <si>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</si>
  <si>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</si>
  <si>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</si>
  <si>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</si>
  <si>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</si>
  <si>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</si>
  <si>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</si>
  <si>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</si>
  <si>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</si>
  <si>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</si>
  <si>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</si>
  <si>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</si>
  <si>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</si>
  <si>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</si>
  <si>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</si>
  <si>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</si>
  <si>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</si>
  <si>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</si>
  <si>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</si>
  <si>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</si>
  <si>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</si>
  <si>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</si>
  <si>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</si>
  <si>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</si>
  <si>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</si>
  <si>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</si>
  <si>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</si>
  <si>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</si>
  <si>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</si>
  <si>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</si>
  <si>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</si>
  <si>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</si>
  <si>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</si>
  <si>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</si>
  <si>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</si>
  <si>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</si>
  <si>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</si>
  <si>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</si>
  <si>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</si>
  <si>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</si>
  <si>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</si>
  <si>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</si>
  <si>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</si>
  <si>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</si>
  <si>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</si>
  <si>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</si>
  <si>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</si>
  <si>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</si>
  <si>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</si>
  <si>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</si>
  <si>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</si>
  <si>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</si>
  <si>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</si>
  <si>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</si>
  <si>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</si>
  <si>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</si>
  <si>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</si>
  <si>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</si>
  <si>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</si>
  <si>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</si>
  <si>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</si>
  <si>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</si>
  <si>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</si>
  <si>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</si>
  <si>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</si>
  <si>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</si>
  <si>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</si>
  <si>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</si>
  <si>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</si>
  <si>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</si>
  <si>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</si>
  <si>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</si>
  <si>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</si>
  <si>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</si>
  <si>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</si>
  <si>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</si>
  <si>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</si>
  <si>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</si>
  <si>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</si>
  <si>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</si>
  <si>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</si>
  <si>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</si>
  <si>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</si>
  <si>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</si>
  <si>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</si>
  <si>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</si>
  <si>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</si>
  <si>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</si>
  <si>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</si>
  <si>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</si>
  <si>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</si>
  <si>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</si>
  <si>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</si>
  <si>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</si>
  <si>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</si>
  <si>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</si>
  <si>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</si>
  <si>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</si>
  <si>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</si>
  <si>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</si>
  <si>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</si>
  <si>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</si>
  <si>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</si>
  <si>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</si>
  <si>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</si>
  <si>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</si>
  <si>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</si>
  <si>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</si>
  <si>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</si>
  <si>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</si>
  <si>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</si>
  <si>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</si>
  <si>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</si>
  <si>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</si>
  <si>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</si>
  <si>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</si>
  <si>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</si>
  <si>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</si>
  <si>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</si>
  <si>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</si>
  <si>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</si>
  <si>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</si>
  <si>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</si>
  <si>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</si>
  <si>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</si>
  <si>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</si>
  <si>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</si>
  <si>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</si>
  <si>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</si>
  <si>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</si>
  <si>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</si>
  <si>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</si>
  <si>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</si>
  <si>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</si>
  <si>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</si>
  <si>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</si>
  <si>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</si>
  <si>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</si>
  <si>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</si>
  <si>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</si>
  <si>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</si>
  <si>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</si>
  <si>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</si>
  <si>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</si>
  <si>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</si>
  <si>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</si>
  <si>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</si>
  <si>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</si>
  <si>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</si>
  <si>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</si>
  <si>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</si>
  <si>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</si>
  <si>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</si>
  <si>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</si>
  <si>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</si>
  <si>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</si>
  <si>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</si>
  <si>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</si>
  <si>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</si>
  <si>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</si>
  <si>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</si>
  <si>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</si>
  <si>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</si>
  <si>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</si>
  <si>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</si>
  <si>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</si>
  <si>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</si>
  <si>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</si>
  <si>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</si>
  <si>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</si>
  <si>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</si>
  <si>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</si>
  <si>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</si>
  <si>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</si>
  <si>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</si>
  <si>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</si>
  <si>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</si>
  <si>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</si>
  <si>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</si>
  <si>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</si>
  <si>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</si>
  <si>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</si>
  <si>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</si>
  <si>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</si>
  <si>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</si>
  <si>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</si>
  <si>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</si>
  <si>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</si>
  <si>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</si>
  <si>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</si>
  <si>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</si>
  <si>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</si>
  <si>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</si>
  <si>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</si>
  <si>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</si>
  <si>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</si>
  <si>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</si>
  <si>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</si>
  <si>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</si>
  <si>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</si>
  <si>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</si>
  <si>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</si>
  <si>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</si>
  <si>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</si>
  <si>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</si>
  <si>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</si>
  <si>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</si>
  <si>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</si>
  <si>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</si>
  <si>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</si>
  <si>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</si>
  <si>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</si>
  <si>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</si>
  <si>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</si>
  <si>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</si>
  <si>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</si>
  <si>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</si>
  <si>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</si>
  <si>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</si>
  <si>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</si>
  <si>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</si>
  <si>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</si>
  <si>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</si>
  <si>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</si>
  <si>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</si>
  <si>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</si>
  <si>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</si>
  <si>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</si>
  <si>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</si>
  <si>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</si>
  <si>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</si>
  <si>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</si>
  <si>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</si>
  <si>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</si>
  <si>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</si>
  <si>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</si>
  <si>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</si>
  <si>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</si>
  <si>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</si>
  <si>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</si>
  <si>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</si>
  <si>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</si>
  <si>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</si>
  <si>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</si>
  <si>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</si>
  <si>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</si>
  <si>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</si>
  <si>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</si>
  <si>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</si>
  <si>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</si>
  <si>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</si>
  <si>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</si>
  <si>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</si>
  <si>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</si>
  <si>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</si>
  <si>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</si>
  <si>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</si>
  <si>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</si>
  <si>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</si>
  <si>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</si>
  <si>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</si>
  <si>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</si>
  <si>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</si>
  <si>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</si>
  <si>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</si>
  <si>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</si>
  <si>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</si>
  <si>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</si>
  <si>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</si>
  <si>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</si>
  <si>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</si>
  <si>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</si>
  <si>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</si>
  <si>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</si>
  <si>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</si>
  <si>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</si>
  <si>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</si>
  <si>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</si>
  <si>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</si>
  <si>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</si>
  <si>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</si>
  <si>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</si>
  <si>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</si>
  <si>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</si>
  <si>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</si>
  <si>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</si>
  <si>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</si>
  <si>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</si>
  <si>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</si>
  <si>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</si>
  <si>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</si>
  <si>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</si>
  <si>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</si>
  <si>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</si>
  <si>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</si>
  <si>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</si>
  <si>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</si>
  <si>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</si>
  <si>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</si>
  <si>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</si>
  <si>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</si>
  <si>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</si>
  <si>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</si>
  <si>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</si>
  <si>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</si>
  <si>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</si>
  <si>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</si>
  <si>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</si>
  <si>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</si>
  <si>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</si>
  <si>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</si>
  <si>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</si>
  <si>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</si>
  <si>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</si>
  <si>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</si>
  <si>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</si>
  <si>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</si>
  <si>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</si>
  <si>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</si>
  <si>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</si>
  <si>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</si>
  <si>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</si>
  <si>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</si>
  <si>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</si>
  <si>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</si>
  <si>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</si>
  <si>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</si>
  <si>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</si>
  <si>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</si>
  <si>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</si>
  <si>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</si>
  <si>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</si>
  <si>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</si>
  <si>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</si>
  <si>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</si>
  <si>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</si>
  <si>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</si>
  <si>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</si>
  <si>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</si>
  <si>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</si>
  <si>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</si>
  <si>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</si>
  <si>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</si>
  <si>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</si>
  <si>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</si>
  <si>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</si>
  <si>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</si>
  <si>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</si>
  <si>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</si>
  <si>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</si>
  <si>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</si>
  <si>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</si>
  <si>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</si>
  <si>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</si>
  <si>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</si>
  <si>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</si>
  <si>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</si>
  <si>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</si>
  <si>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</si>
  <si>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</si>
  <si>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</si>
  <si>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</si>
  <si>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</si>
  <si>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</si>
  <si>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</si>
  <si>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</si>
  <si>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</si>
  <si>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</si>
  <si>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</si>
  <si>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</si>
  <si>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</si>
  <si>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</si>
  <si>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</si>
  <si>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</si>
  <si>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</si>
  <si>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</si>
  <si>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</si>
  <si>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</si>
  <si>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</si>
  <si>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</si>
  <si>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</si>
  <si>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</si>
  <si>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</si>
  <si>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</si>
  <si>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</si>
  <si>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</si>
  <si>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</si>
  <si>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</si>
  <si>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</si>
  <si>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</si>
  <si>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</si>
  <si>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</si>
  <si>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</si>
  <si>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</si>
  <si>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</si>
  <si>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</si>
  <si>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</si>
  <si>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</si>
  <si>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</si>
  <si>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</si>
  <si>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</si>
  <si>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</si>
  <si>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</si>
  <si>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</si>
  <si>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</si>
  <si>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</si>
  <si>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</si>
  <si>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</si>
  <si>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</si>
  <si>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</si>
  <si>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</si>
  <si>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</si>
  <si>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</si>
  <si>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</si>
  <si>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</si>
  <si>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</si>
  <si>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</si>
  <si>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</si>
  <si>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</si>
  <si>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</si>
  <si>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</si>
  <si>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</si>
  <si>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</si>
  <si>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</si>
  <si>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</si>
  <si>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</si>
  <si>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</si>
  <si>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</si>
  <si>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</si>
  <si>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</si>
  <si>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</si>
  <si>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</si>
  <si>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</si>
  <si>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</si>
  <si>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</si>
  <si>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</si>
  <si>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</si>
  <si>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</si>
  <si>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</si>
  <si>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</si>
  <si>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</si>
  <si>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</si>
  <si>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</si>
  <si>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</si>
  <si>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</si>
  <si>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</si>
  <si>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</si>
  <si>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</si>
  <si>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</si>
  <si>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</si>
  <si>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</si>
  <si>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</si>
  <si>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</si>
  <si>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</si>
  <si>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</si>
  <si>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</si>
  <si>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</si>
  <si>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</si>
  <si>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</si>
  <si>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</si>
  <si>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</si>
  <si>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</si>
  <si>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</si>
  <si>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</si>
  <si>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</si>
  <si>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</si>
  <si>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</si>
  <si>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</si>
  <si>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</si>
  <si>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</si>
  <si>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</si>
  <si>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</si>
  <si>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</si>
  <si>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</si>
  <si>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</si>
  <si>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</si>
  <si>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</si>
  <si>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</si>
  <si>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</si>
  <si>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</si>
  <si>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</si>
  <si>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</si>
  <si>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</si>
  <si>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</si>
  <si>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</si>
  <si>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</si>
  <si>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</si>
  <si>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</si>
  <si>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</si>
  <si>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</si>
  <si>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</si>
  <si>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</si>
  <si>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</si>
  <si>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</si>
  <si>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</si>
  <si>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</si>
  <si>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</si>
  <si>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</si>
  <si>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</si>
  <si>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</si>
  <si>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</si>
  <si>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</si>
  <si>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</si>
  <si>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</si>
  <si>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</si>
  <si>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</si>
  <si>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</si>
  <si>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</si>
  <si>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</si>
  <si>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</si>
  <si>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</si>
  <si>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</si>
  <si>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</si>
  <si>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</si>
  <si>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</si>
  <si>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</si>
  <si>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</si>
  <si>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</si>
  <si>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</si>
  <si>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</si>
  <si>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</si>
  <si>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</si>
  <si>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</si>
  <si>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</si>
  <si>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</si>
  <si>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</si>
  <si>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</si>
  <si>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</si>
  <si>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</si>
  <si>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</si>
  <si>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</si>
  <si>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</si>
  <si>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</si>
  <si>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</si>
  <si>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</si>
  <si>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</si>
  <si>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</si>
  <si>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</si>
  <si>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</si>
  <si>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</si>
  <si>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</si>
  <si>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</si>
  <si>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</si>
  <si>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</si>
  <si>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</si>
  <si>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</si>
  <si>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</si>
  <si>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</si>
  <si>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</si>
  <si>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</si>
  <si>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</si>
  <si>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</si>
  <si>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</si>
  <si>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</si>
  <si>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</si>
  <si>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</si>
  <si>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</si>
  <si>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</si>
  <si>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</si>
  <si>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</si>
  <si>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</si>
  <si>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</si>
  <si>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</si>
  <si>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</si>
  <si>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</si>
  <si>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</si>
  <si>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</si>
  <si>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</si>
  <si>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</si>
  <si>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</si>
  <si>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</si>
  <si>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</si>
  <si>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</si>
  <si>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</si>
  <si>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</si>
  <si>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</si>
  <si>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</si>
  <si>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</si>
  <si>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</si>
  <si>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</si>
  <si>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</si>
  <si>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</si>
  <si>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</si>
  <si>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</si>
  <si>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</si>
  <si>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</si>
  <si>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</si>
  <si>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</si>
  <si>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</si>
  <si>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</si>
  <si>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</si>
  <si>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</si>
  <si>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</si>
  <si>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</si>
  <si>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</si>
  <si>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</si>
  <si>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</si>
  <si>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</si>
  <si>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</si>
  <si>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</si>
  <si>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</si>
  <si>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</si>
  <si>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</si>
  <si>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</si>
  <si>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</si>
  <si>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</si>
  <si>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</si>
  <si>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</si>
  <si>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</si>
  <si>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</si>
  <si>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</si>
  <si>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</si>
  <si>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</si>
  <si>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</si>
  <si>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</si>
  <si>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</si>
  <si>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</si>
  <si>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</si>
  <si>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</si>
  <si>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</si>
  <si>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</si>
  <si>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</si>
  <si>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</si>
  <si>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</si>
  <si>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</si>
  <si>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</si>
  <si>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</si>
  <si>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</si>
  <si>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</si>
  <si>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</si>
  <si>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</si>
  <si>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</si>
  <si>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</si>
  <si>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</si>
  <si>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</si>
  <si>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</si>
  <si>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</si>
  <si>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</si>
  <si>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</si>
  <si>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</si>
  <si>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</si>
  <si>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</si>
  <si>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</si>
  <si>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</si>
  <si>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</si>
  <si>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</si>
  <si>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</si>
  <si>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</si>
  <si>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</si>
  <si>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</si>
  <si>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</si>
  <si>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</si>
  <si>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</si>
  <si>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</si>
  <si>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</si>
  <si>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</si>
  <si>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</si>
  <si>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</si>
  <si>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</si>
  <si>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</si>
  <si>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</si>
  <si>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</si>
  <si>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</si>
  <si>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</si>
  <si>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</si>
  <si>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</si>
  <si>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</si>
  <si>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</si>
  <si>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</si>
  <si>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</si>
  <si>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</si>
  <si>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</si>
  <si>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</si>
  <si>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</si>
  <si>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</si>
  <si>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</si>
  <si>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</si>
  <si>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</si>
  <si>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</si>
  <si>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</si>
  <si>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</si>
  <si>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</si>
  <si>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</si>
  <si>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</si>
  <si>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</si>
  <si>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</si>
  <si>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</si>
  <si>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</si>
  <si>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</si>
  <si>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</si>
  <si>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</si>
  <si>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</si>
  <si>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</si>
  <si>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</si>
  <si>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</si>
  <si>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</si>
  <si>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</si>
  <si>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</si>
  <si>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</si>
  <si>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</si>
  <si>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</si>
  <si>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</si>
  <si>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</si>
  <si>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</si>
  <si>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</si>
  <si>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</si>
  <si>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</si>
  <si>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</si>
  <si>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</si>
  <si>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</si>
  <si>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</si>
  <si>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</si>
  <si>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</si>
  <si>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</si>
  <si>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</si>
  <si>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</si>
  <si>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</si>
  <si>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</si>
  <si>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</si>
  <si>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</si>
  <si>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</si>
  <si>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</si>
  <si>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</si>
  <si>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</si>
  <si>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</si>
  <si>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</si>
  <si>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</si>
  <si>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</si>
  <si>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</si>
  <si>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</si>
  <si>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</si>
  <si>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</si>
  <si>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</si>
  <si>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</si>
  <si>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</si>
  <si>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</si>
  <si>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</si>
  <si>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</si>
  <si>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</si>
  <si>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</si>
  <si>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</si>
  <si>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</si>
  <si>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</si>
  <si>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</si>
  <si>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</si>
  <si>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</si>
  <si>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</si>
  <si>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</si>
  <si>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</si>
  <si>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</si>
  <si>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</si>
  <si>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</si>
  <si>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</si>
  <si>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</si>
  <si>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</si>
  <si>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</si>
  <si>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</si>
  <si>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</si>
  <si>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</si>
  <si>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</si>
  <si>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</si>
  <si>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</si>
  <si>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</si>
  <si>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</si>
  <si>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</si>
  <si>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</si>
  <si>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</si>
  <si>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</si>
  <si>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</si>
  <si>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</si>
  <si>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</si>
  <si>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</si>
  <si>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</si>
  <si>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</si>
  <si>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</si>
  <si>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</si>
  <si>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</si>
  <si>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</si>
  <si>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</si>
  <si>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</si>
  <si>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</si>
  <si>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</si>
  <si>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</si>
  <si>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</si>
  <si>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</si>
  <si>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</si>
  <si>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</si>
  <si>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</si>
  <si>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</si>
  <si>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</si>
  <si>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</si>
  <si>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</si>
  <si>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</si>
  <si>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</si>
  <si>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</si>
  <si>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</si>
  <si>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</si>
  <si>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</si>
  <si>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</si>
  <si>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</si>
  <si>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</si>
  <si>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</si>
  <si>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</si>
  <si>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</si>
  <si>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</si>
  <si>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</si>
  <si>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</si>
  <si>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</si>
  <si>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</si>
  <si>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</si>
  <si>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</si>
  <si>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</si>
  <si>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</si>
  <si>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</si>
  <si>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</si>
  <si>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</si>
  <si>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</si>
  <si>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</si>
  <si>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</si>
  <si>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</si>
  <si>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</si>
  <si>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</si>
  <si>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</si>
  <si>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</si>
  <si>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</si>
  <si>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</si>
  <si>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</si>
  <si>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</si>
  <si>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</si>
  <si>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</si>
  <si>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</si>
  <si>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</si>
  <si>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</si>
  <si>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</si>
  <si>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</si>
  <si>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</si>
  <si>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</si>
  <si>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</si>
  <si>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</si>
  <si>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</si>
  <si>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</si>
  <si>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</si>
  <si>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</si>
  <si>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</si>
  <si>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</si>
  <si>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</si>
  <si>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</si>
  <si>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</si>
  <si>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</si>
  <si>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</si>
  <si>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</si>
  <si>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</si>
  <si>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</si>
  <si>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</si>
  <si>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</si>
  <si>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</si>
  <si>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</si>
  <si>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</si>
  <si>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</si>
  <si>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</si>
  <si>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</si>
  <si>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</si>
  <si>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</si>
  <si>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</si>
  <si>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</si>
  <si>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</si>
  <si>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</si>
  <si>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</si>
  <si>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</si>
  <si>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</si>
  <si>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</si>
  <si>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</si>
  <si>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</si>
  <si>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</si>
  <si>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</si>
  <si>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</si>
  <si>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</si>
  <si>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</si>
  <si>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</si>
  <si>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</si>
  <si>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</si>
  <si>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</si>
  <si>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</si>
  <si>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</si>
  <si>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</si>
  <si>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</si>
  <si>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</si>
  <si>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</si>
  <si>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</si>
  <si>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</si>
  <si>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</si>
  <si>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</si>
  <si>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</si>
  <si>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</si>
  <si>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</si>
  <si>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</si>
  <si>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</si>
  <si>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</si>
  <si>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</si>
  <si>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</si>
  <si>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</si>
  <si>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</si>
  <si>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</si>
  <si>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</si>
  <si>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</si>
  <si>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</si>
  <si>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</si>
  <si>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</si>
  <si>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</si>
  <si>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</si>
  <si>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</si>
  <si>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</si>
  <si>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</si>
  <si>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</si>
  <si>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</si>
  <si>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</si>
  <si>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</si>
  <si>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</si>
  <si>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</si>
  <si>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</si>
  <si>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</si>
  <si>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</si>
  <si>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</si>
  <si>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</si>
  <si>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</si>
  <si>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</si>
  <si>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</si>
  <si>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</si>
  <si>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</si>
  <si>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</si>
  <si>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</si>
  <si>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</si>
  <si>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</si>
  <si>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</si>
  <si>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</si>
  <si>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</si>
  <si>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</si>
  <si>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</si>
  <si>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</si>
  <si>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</si>
  <si>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</si>
  <si>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</si>
  <si>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</si>
  <si>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</si>
  <si>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</si>
  <si>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</si>
  <si>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</si>
  <si>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</si>
  <si>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</si>
  <si>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</si>
  <si>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</si>
  <si>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</si>
  <si>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</si>
  <si>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</si>
  <si>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</si>
  <si>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</si>
  <si>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</si>
  <si>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</si>
  <si>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</si>
  <si>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</si>
  <si>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</si>
  <si>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</si>
  <si>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</si>
  <si>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</si>
  <si>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</si>
  <si>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</si>
  <si>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</si>
  <si>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</si>
  <si>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</si>
  <si>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</si>
  <si>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</si>
  <si>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</si>
  <si>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</si>
  <si>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</si>
  <si>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</si>
  <si>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</si>
  <si>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</si>
  <si>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</si>
  <si>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</si>
  <si>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</si>
  <si>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</si>
  <si>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</si>
  <si>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</si>
  <si>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</si>
  <si>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</si>
  <si>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</si>
  <si>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</si>
  <si>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</si>
  <si>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</si>
  <si>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</si>
  <si>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</si>
  <si>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</si>
  <si>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</si>
  <si>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</si>
  <si>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</si>
  <si>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</si>
  <si>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</si>
  <si>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</si>
  <si>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</si>
  <si>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</si>
  <si>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</si>
  <si>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</si>
  <si>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</si>
  <si>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</si>
  <si>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</si>
  <si>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</si>
  <si>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</si>
  <si>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</si>
  <si>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</si>
  <si>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</si>
  <si>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</si>
  <si>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</si>
  <si>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</si>
  <si>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</si>
  <si>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</si>
  <si>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</si>
  <si>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</si>
  <si>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</si>
  <si>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</si>
  <si>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</si>
  <si>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</si>
  <si>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</si>
  <si>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</si>
  <si>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</si>
  <si>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</si>
  <si>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</si>
  <si>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</si>
  <si>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</si>
  <si>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</si>
  <si>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</si>
  <si>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</si>
  <si>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</si>
  <si>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</si>
  <si>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</si>
  <si>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</si>
  <si>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</si>
  <si>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</si>
  <si>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</si>
  <si>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</si>
  <si>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</si>
  <si>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</si>
  <si>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</si>
  <si>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</si>
  <si>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</si>
  <si>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</si>
  <si>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</si>
  <si>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</si>
  <si>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</si>
  <si>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</si>
  <si>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</si>
  <si>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</si>
  <si>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</si>
  <si>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</si>
  <si>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</si>
  <si>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</si>
  <si>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</si>
  <si>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</si>
  <si>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</si>
  <si>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</si>
  <si>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</si>
  <si>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</si>
  <si>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</si>
  <si>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</si>
  <si>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</si>
  <si>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</si>
  <si>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</si>
  <si>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</si>
  <si>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</si>
  <si>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</si>
  <si>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</si>
  <si>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</si>
  <si>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</si>
  <si>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</si>
  <si>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</si>
  <si>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</si>
  <si>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</si>
  <si>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</si>
  <si>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</si>
  <si>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</si>
  <si>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</si>
  <si>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</si>
  <si>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</si>
  <si>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</si>
  <si>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</si>
  <si>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</si>
  <si>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</si>
  <si>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</si>
  <si>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</si>
  <si>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</si>
  <si>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</si>
  <si>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</si>
  <si>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</si>
  <si>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</si>
  <si>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</si>
  <si>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</si>
  <si>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</si>
  <si>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</si>
  <si>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</si>
  <si>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</si>
  <si>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</si>
  <si>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</si>
  <si>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</si>
  <si>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</si>
  <si>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</si>
  <si>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</si>
  <si>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</si>
  <si>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</si>
  <si>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</si>
  <si>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</si>
  <si>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</si>
  <si>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</si>
  <si>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</si>
  <si>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</si>
  <si>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</si>
  <si>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</si>
  <si>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</si>
  <si>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</si>
  <si>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</si>
  <si>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</si>
  <si>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</si>
  <si>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</si>
  <si>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</si>
  <si>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</si>
  <si>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</si>
  <si>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</si>
  <si>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</si>
  <si>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</si>
  <si>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</si>
  <si>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</si>
  <si>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</si>
  <si>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</si>
  <si>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</si>
  <si>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</si>
  <si>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</si>
  <si>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</si>
  <si>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</si>
  <si>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</si>
  <si>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</si>
  <si>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</si>
  <si>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</si>
  <si>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</si>
  <si>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</si>
  <si>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</si>
  <si>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</si>
  <si>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</si>
  <si>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</si>
  <si>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</si>
  <si>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</si>
  <si>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</si>
  <si>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</si>
  <si>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</si>
  <si>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</si>
  <si>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</si>
  <si>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</si>
  <si>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</si>
  <si>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</si>
  <si>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</si>
  <si>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</si>
  <si>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</si>
  <si>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</si>
  <si>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</si>
  <si>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</si>
  <si>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</si>
  <si>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</si>
  <si>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</si>
  <si>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</si>
  <si>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</si>
  <si>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</si>
  <si>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</si>
  <si>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</si>
  <si>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</si>
  <si>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</si>
  <si>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</si>
  <si>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</si>
  <si>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</si>
  <si>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</si>
  <si>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</si>
  <si>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</si>
  <si>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</si>
  <si>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</si>
  <si>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</si>
  <si>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</si>
  <si>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</si>
  <si>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</si>
  <si>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</si>
  <si>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</si>
  <si>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</si>
  <si>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</si>
  <si>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</si>
  <si>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</si>
  <si>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</si>
  <si>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</si>
  <si>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</si>
  <si>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</si>
  <si>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</si>
  <si>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</si>
  <si>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</si>
  <si>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</si>
  <si>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</si>
  <si>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</si>
  <si>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</si>
  <si>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</si>
  <si>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</si>
  <si>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</si>
  <si>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</si>
  <si>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</si>
  <si>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</si>
  <si>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</si>
  <si>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</si>
  <si>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</si>
  <si>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</si>
  <si>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</si>
  <si>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</si>
  <si>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</si>
  <si>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</si>
  <si>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</si>
  <si>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</si>
  <si>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</si>
  <si>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</si>
  <si>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</si>
  <si>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</si>
  <si>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</si>
  <si>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</si>
  <si>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</si>
  <si>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</si>
  <si>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</si>
  <si>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</si>
  <si>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</si>
  <si>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</si>
  <si>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</si>
  <si>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</si>
  <si>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</si>
  <si>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</si>
  <si>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</si>
  <si>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</si>
  <si>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</si>
  <si>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</si>
  <si>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</si>
  <si>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</si>
  <si>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</si>
  <si>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</si>
  <si>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</si>
  <si>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</si>
  <si>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</si>
  <si>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</si>
  <si>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</si>
  <si>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</si>
  <si>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</si>
  <si>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</si>
  <si>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</si>
  <si>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</si>
  <si>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</si>
  <si>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</si>
  <si>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</si>
  <si>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</si>
  <si>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</si>
  <si>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</si>
  <si>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</si>
  <si>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</si>
  <si>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</si>
  <si>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</si>
  <si>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</si>
  <si>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</si>
  <si>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</si>
  <si>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</si>
  <si>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</si>
  <si>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</si>
  <si>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</si>
  <si>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</si>
  <si>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</si>
  <si>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</si>
  <si>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</si>
  <si>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</si>
  <si>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</si>
  <si>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</si>
  <si>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</si>
  <si>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</si>
  <si>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</si>
  <si>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</si>
  <si>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</si>
  <si>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</si>
  <si>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</si>
  <si>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</si>
  <si>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</si>
  <si>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</si>
  <si>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</si>
  <si>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</si>
  <si>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</si>
  <si>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</si>
  <si>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</si>
  <si>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</si>
  <si>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</si>
  <si>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</si>
  <si>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</si>
  <si>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</si>
  <si>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</si>
  <si>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</si>
  <si>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</si>
  <si>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</si>
  <si>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</si>
  <si>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</si>
  <si>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</si>
  <si>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</si>
  <si>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</si>
  <si>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</si>
  <si>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</si>
  <si>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</si>
  <si>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</si>
  <si>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</si>
  <si>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</si>
  <si>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</si>
  <si>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</si>
  <si>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</si>
  <si>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</si>
  <si>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</si>
  <si>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</si>
  <si>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</si>
  <si>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</si>
  <si>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</si>
  <si>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</si>
  <si>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</si>
  <si>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</si>
  <si>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</si>
  <si>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</si>
  <si>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</si>
  <si>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</si>
  <si>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</si>
  <si>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</si>
  <si>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</si>
  <si>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</si>
  <si>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</si>
  <si>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</si>
  <si>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</si>
  <si>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</si>
  <si>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</si>
  <si>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</si>
  <si>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</si>
  <si>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</si>
  <si>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</si>
  <si>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</si>
  <si>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</si>
  <si>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</si>
  <si>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</si>
  <si>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</si>
  <si>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</si>
  <si>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</si>
  <si>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</si>
  <si>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</si>
  <si>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</si>
  <si>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</si>
  <si>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</si>
  <si>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</si>
  <si>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</si>
  <si>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</si>
  <si>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</si>
  <si>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</si>
  <si>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</si>
  <si>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</si>
  <si>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</si>
  <si>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</si>
  <si>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</si>
  <si>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</si>
  <si>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</si>
  <si>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</si>
  <si>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</si>
  <si>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</si>
  <si>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</si>
  <si>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</si>
  <si>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</si>
  <si>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</si>
  <si>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</si>
  <si>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</si>
  <si>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</si>
  <si>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</si>
  <si>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</si>
  <si>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</si>
  <si>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</si>
  <si>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</si>
  <si>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</si>
  <si>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</si>
  <si>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</si>
  <si>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</si>
  <si>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</si>
  <si>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</si>
  <si>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</si>
  <si>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</si>
  <si>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</si>
  <si>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</si>
  <si>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</si>
  <si>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</si>
  <si>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</si>
  <si>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</si>
  <si>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</si>
  <si>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</si>
  <si>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</si>
  <si>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</si>
  <si>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</si>
  <si>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</si>
  <si>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</si>
  <si>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</si>
  <si>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</si>
  <si>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</si>
  <si>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</si>
  <si>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</si>
  <si>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</si>
  <si>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</si>
  <si>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</si>
  <si>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</si>
  <si>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</si>
  <si>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</si>
  <si>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</si>
  <si>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</si>
  <si>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</si>
  <si>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</si>
  <si>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</si>
  <si>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</si>
  <si>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</si>
  <si>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</si>
  <si>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</si>
  <si>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</si>
  <si>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</si>
  <si>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</si>
  <si>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</si>
  <si>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</si>
  <si>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</si>
  <si>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</si>
  <si>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</si>
  <si>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</si>
  <si>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</si>
  <si>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</si>
  <si>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</si>
  <si>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</si>
  <si>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</si>
  <si>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</si>
  <si>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</si>
  <si>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</si>
  <si>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</si>
  <si>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</si>
  <si>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</si>
  <si>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</si>
  <si>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</si>
  <si>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</si>
  <si>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</si>
  <si>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</si>
  <si>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</si>
  <si>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</si>
  <si>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</si>
  <si>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</si>
  <si>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</si>
  <si>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</si>
  <si>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</si>
  <si>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</si>
  <si>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</si>
  <si>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</si>
  <si>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</si>
  <si>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</si>
  <si>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</si>
  <si>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</si>
  <si>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</si>
  <si>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</si>
  <si>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</si>
  <si>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</si>
  <si>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</si>
  <si>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</si>
  <si>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</si>
  <si>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</si>
  <si>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</si>
  <si>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</si>
  <si>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</si>
  <si>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</si>
  <si>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</si>
  <si>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</si>
  <si>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</si>
  <si>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</si>
  <si>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</si>
  <si>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</si>
  <si>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</si>
  <si>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</si>
  <si>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</si>
  <si>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</si>
  <si>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</si>
  <si>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</si>
  <si>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</si>
  <si>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</si>
  <si>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</si>
  <si>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</si>
  <si>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</si>
  <si>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</si>
  <si>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</si>
  <si>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</si>
  <si>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</si>
  <si>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</si>
  <si>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</si>
  <si>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</si>
  <si>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</si>
  <si>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</si>
  <si>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</si>
  <si>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</si>
  <si>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</si>
  <si>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</si>
  <si>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</si>
  <si>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</si>
  <si>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</si>
  <si>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</si>
  <si>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</si>
  <si>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</si>
  <si>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</si>
  <si>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</si>
  <si>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</si>
  <si>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</si>
  <si>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</si>
  <si>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</si>
  <si>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</si>
  <si>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</si>
  <si>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</si>
  <si>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</si>
  <si>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</si>
  <si>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</si>
  <si>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</si>
  <si>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</si>
  <si>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</si>
  <si>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</si>
  <si>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</si>
  <si>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</si>
  <si>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</si>
  <si>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</si>
  <si>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</si>
  <si>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</si>
  <si>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</si>
  <si>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</si>
  <si>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</si>
  <si>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</si>
  <si>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</si>
  <si>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</si>
  <si>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</si>
  <si>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</si>
  <si>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</si>
  <si>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</si>
  <si>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</si>
  <si>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</si>
  <si>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</si>
  <si>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</si>
  <si>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</si>
  <si>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</si>
  <si>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</si>
  <si>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</si>
  <si>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</si>
  <si>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</si>
  <si>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</si>
  <si>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</si>
  <si>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</si>
  <si>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</si>
  <si>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</si>
  <si>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</si>
  <si>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</si>
  <si>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</si>
  <si>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</si>
  <si>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</si>
  <si>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</si>
  <si>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</si>
  <si>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</si>
  <si>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</si>
  <si>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</si>
  <si>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</si>
  <si>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</si>
  <si>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</si>
  <si>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</si>
  <si>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</si>
  <si>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</si>
  <si>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</si>
  <si>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</si>
  <si>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</si>
  <si>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</si>
  <si>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</si>
  <si>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</si>
  <si>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</si>
  <si>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</si>
  <si>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</si>
  <si>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</si>
  <si>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</si>
  <si>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</si>
  <si>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</si>
  <si>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</si>
  <si>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</si>
  <si>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</si>
  <si>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</si>
  <si>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</si>
  <si>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</si>
  <si>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</si>
  <si>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</si>
  <si>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</si>
  <si>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</si>
  <si>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</si>
  <si>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</si>
  <si>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</si>
  <si>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</si>
  <si>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</si>
  <si>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</si>
  <si>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</si>
  <si>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</si>
  <si>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</si>
  <si>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</si>
  <si>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</si>
  <si>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</si>
  <si>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</si>
  <si>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</si>
  <si>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</si>
  <si>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</si>
  <si>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</si>
  <si>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</si>
  <si>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</si>
  <si>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</si>
  <si>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</si>
  <si>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</si>
  <si>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</si>
  <si>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</si>
  <si>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</si>
  <si>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</si>
  <si>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</si>
  <si>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</si>
  <si>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</si>
  <si>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</si>
  <si>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</si>
  <si>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</si>
  <si>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</si>
  <si>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</si>
  <si>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</si>
  <si>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</si>
  <si>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</si>
  <si>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</si>
  <si>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</si>
  <si>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</si>
  <si>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</si>
  <si>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</si>
  <si>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</si>
  <si>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</si>
  <si>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</si>
  <si>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</si>
  <si>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</si>
  <si>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</si>
  <si>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</si>
  <si>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</si>
  <si>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</si>
  <si>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</si>
  <si>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</si>
  <si>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</si>
  <si>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</si>
  <si>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</si>
  <si>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</si>
  <si>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</si>
  <si>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</si>
  <si>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</si>
  <si>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</si>
  <si>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</si>
  <si>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</si>
  <si>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</si>
  <si>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</si>
  <si>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</si>
  <si>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</si>
  <si>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</si>
  <si>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</si>
  <si>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</si>
  <si>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</si>
  <si>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</si>
  <si>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</si>
  <si>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</si>
  <si>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</si>
  <si>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</si>
  <si>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</si>
  <si>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</si>
  <si>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</si>
  <si>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</si>
  <si>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</si>
  <si>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</si>
  <si>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</si>
  <si>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</si>
  <si>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</si>
  <si>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</si>
  <si>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</si>
  <si>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</si>
  <si>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</si>
  <si>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</si>
  <si>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</si>
  <si>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</si>
  <si>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</si>
  <si>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</si>
  <si>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</si>
  <si>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</si>
  <si>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</si>
  <si>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</si>
  <si>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</si>
  <si>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</si>
  <si>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</si>
  <si>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</si>
  <si>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</si>
  <si>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</si>
  <si>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</si>
  <si>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</si>
  <si>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</si>
  <si>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</si>
  <si>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</si>
  <si>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</si>
  <si>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</si>
  <si>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</si>
  <si>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</si>
  <si>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</si>
  <si>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</si>
  <si>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</si>
  <si>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</si>
  <si>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</si>
  <si>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</si>
  <si>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</si>
  <si>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</si>
  <si>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</si>
  <si>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</si>
  <si>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</si>
  <si>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</si>
  <si>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</si>
  <si>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</si>
  <si>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</si>
  <si>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</si>
  <si>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</si>
  <si>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</si>
  <si>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</si>
  <si>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</si>
  <si>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</si>
  <si>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</si>
  <si>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</si>
  <si>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</si>
  <si>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</si>
  <si>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</si>
  <si>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</si>
  <si>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</si>
  <si>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</si>
  <si>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</si>
  <si>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</si>
  <si>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</si>
  <si>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</si>
  <si>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</si>
  <si>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</si>
  <si>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</si>
  <si>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</si>
  <si>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</si>
  <si>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</si>
  <si>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</si>
  <si>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</si>
  <si>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</si>
  <si>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</si>
  <si>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</si>
  <si>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</si>
  <si>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</si>
  <si>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</si>
  <si>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</si>
  <si>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</si>
  <si>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</si>
  <si>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</si>
  <si>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</si>
  <si>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</si>
  <si>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</si>
  <si>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</si>
  <si>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</si>
  <si>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</si>
  <si>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</si>
  <si>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</si>
  <si>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</si>
  <si>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</si>
  <si>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</si>
  <si>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</si>
  <si>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</si>
  <si>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</si>
  <si>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</si>
  <si>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</si>
  <si>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</si>
  <si>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</si>
  <si>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</si>
  <si>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</si>
  <si>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</si>
  <si>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</si>
  <si>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</si>
  <si>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</si>
  <si>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</si>
  <si>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</si>
  <si>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</si>
  <si>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</si>
  <si>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</si>
  <si>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</si>
  <si>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</si>
  <si>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</si>
  <si>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</si>
  <si>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</si>
  <si>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</si>
  <si>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</si>
  <si>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</si>
  <si>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</si>
  <si>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</si>
  <si>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</si>
  <si>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</si>
  <si>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</si>
  <si>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</si>
  <si>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</si>
  <si>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</si>
  <si>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</si>
  <si>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</si>
  <si>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</si>
  <si>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</si>
  <si>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</si>
  <si>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</si>
  <si>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</si>
  <si>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</si>
  <si>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</si>
  <si>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</si>
  <si>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</si>
  <si>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</si>
  <si>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</si>
  <si>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</si>
  <si>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</si>
  <si>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</si>
  <si>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</si>
  <si>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</si>
  <si>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</si>
  <si>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</si>
  <si>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</si>
  <si>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</si>
  <si>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</si>
  <si>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</si>
  <si>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</si>
  <si>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</si>
  <si>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</si>
  <si>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</si>
  <si>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</si>
  <si>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</si>
  <si>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</si>
  <si>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</si>
  <si>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</si>
  <si>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</si>
  <si>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</si>
  <si>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</si>
  <si>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</si>
  <si>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</si>
  <si>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</si>
  <si>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</si>
  <si>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</si>
  <si>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</si>
  <si>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</si>
  <si>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</si>
  <si>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</si>
  <si>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</si>
  <si>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</si>
  <si>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</si>
  <si>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</si>
  <si>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</si>
  <si>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</si>
  <si>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</si>
  <si>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</si>
  <si>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</si>
  <si>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</si>
  <si>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</si>
  <si>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</si>
  <si>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</si>
  <si>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</si>
  <si>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</si>
  <si>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</si>
  <si>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</si>
  <si>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</si>
  <si>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</si>
  <si>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</si>
  <si>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</si>
  <si>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</si>
  <si>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</si>
  <si>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</si>
  <si>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</si>
  <si>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</si>
  <si>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</si>
  <si>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</si>
  <si>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</si>
  <si>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</si>
  <si>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</si>
  <si>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</si>
  <si>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</si>
  <si>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</si>
  <si>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</si>
  <si>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</si>
  <si>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</si>
  <si>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</si>
  <si>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</si>
  <si>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</si>
  <si>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</si>
  <si>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</si>
  <si>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</si>
  <si>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</si>
  <si>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</si>
  <si>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</si>
  <si>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</si>
  <si>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</si>
  <si>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</si>
  <si>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</si>
  <si>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</si>
  <si>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</si>
  <si>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</si>
  <si>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</si>
  <si>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</si>
  <si>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</si>
  <si>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</si>
  <si>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</si>
  <si>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</si>
  <si>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</si>
  <si>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</si>
  <si>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</si>
  <si>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</si>
  <si>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</si>
  <si>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</si>
  <si>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</si>
  <si>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</si>
  <si>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</si>
  <si>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</si>
  <si>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</si>
  <si>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</si>
  <si>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</si>
  <si>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</si>
  <si>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</si>
  <si>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</si>
  <si>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</si>
  <si>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</si>
  <si>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</si>
  <si>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</si>
  <si>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</si>
  <si>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</si>
  <si>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</si>
  <si>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</si>
  <si>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</si>
  <si>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</si>
  <si>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</si>
  <si>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</si>
  <si>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</si>
  <si>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</si>
  <si>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</si>
  <si>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</si>
  <si>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</si>
  <si>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</si>
  <si>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</si>
  <si>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</si>
  <si>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</si>
  <si>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</si>
  <si>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</si>
  <si>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</si>
  <si>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</si>
  <si>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</si>
  <si>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</si>
  <si>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</si>
  <si>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</si>
  <si>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</si>
  <si>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</si>
  <si>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</si>
  <si>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</si>
  <si>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</si>
  <si>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</si>
  <si>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</si>
  <si>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</si>
  <si>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</si>
  <si>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</si>
  <si>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</si>
  <si>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</si>
  <si>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</si>
  <si>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</si>
  <si>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</si>
  <si>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</si>
  <si>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</si>
  <si>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</si>
  <si>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</si>
  <si>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</si>
  <si>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</si>
  <si>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</si>
  <si>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</si>
  <si>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</si>
  <si>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</si>
  <si>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</si>
  <si>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</si>
  <si>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</si>
  <si>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</si>
  <si>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</si>
  <si>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</si>
  <si>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</si>
  <si>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</si>
  <si>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</si>
  <si>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</si>
  <si>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</si>
  <si>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</si>
  <si>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</si>
  <si>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</si>
  <si>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</si>
  <si>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</si>
  <si>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</si>
  <si>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</si>
  <si>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</si>
  <si>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</si>
  <si>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</si>
  <si>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</si>
  <si>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</si>
  <si>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</si>
  <si>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</si>
  <si>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</si>
  <si>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</si>
  <si>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</si>
  <si>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</si>
  <si>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</si>
  <si>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</si>
  <si>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</si>
  <si>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</si>
  <si>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</si>
  <si>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</si>
  <si>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</si>
  <si>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</si>
  <si>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</si>
  <si>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</si>
  <si>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</si>
  <si>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</si>
  <si>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</si>
  <si>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</si>
  <si>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</si>
  <si>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</si>
  <si>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</si>
  <si>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</si>
  <si>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</si>
  <si>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</si>
  <si>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</si>
  <si>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</si>
  <si>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</si>
  <si>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</si>
  <si>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</si>
  <si>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</si>
  <si>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</si>
  <si>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</si>
  <si>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</si>
  <si>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</si>
  <si>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</si>
  <si>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</si>
  <si>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</si>
  <si>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</si>
  <si>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</si>
  <si>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</si>
  <si>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</si>
  <si>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</si>
  <si>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</si>
  <si>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</si>
  <si>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</si>
  <si>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</si>
  <si>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</si>
  <si>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</si>
  <si>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</si>
  <si>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</si>
  <si>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</si>
  <si>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</si>
  <si>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</si>
  <si>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</si>
  <si>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</si>
  <si>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</si>
  <si>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</si>
  <si>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</si>
  <si>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</si>
  <si>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</si>
  <si>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</si>
  <si>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</si>
  <si>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</si>
  <si>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</si>
  <si>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</si>
  <si>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</si>
  <si>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</si>
  <si>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</si>
  <si>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</si>
  <si>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</si>
  <si>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</si>
  <si>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</si>
  <si>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</si>
  <si>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</si>
  <si>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</si>
  <si>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</si>
  <si>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</si>
  <si>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</si>
  <si>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</si>
  <si>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</si>
  <si>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</si>
  <si>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</si>
  <si>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</si>
  <si>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</si>
  <si>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</si>
  <si>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</si>
  <si>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</si>
  <si>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</si>
  <si>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</si>
  <si>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</si>
  <si>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</si>
  <si>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</si>
  <si>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</si>
  <si>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</si>
  <si>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</si>
  <si>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</si>
  <si>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</si>
  <si>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</si>
  <si>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</si>
  <si>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</si>
  <si>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</si>
  <si>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</si>
  <si>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</si>
  <si>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</si>
  <si>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</si>
  <si>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</si>
  <si>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</si>
  <si>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</si>
  <si>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</si>
  <si>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</si>
  <si>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</si>
  <si>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</si>
  <si>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</si>
  <si>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</si>
  <si>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</si>
  <si>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</si>
  <si>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</si>
  <si>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</si>
  <si>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</si>
  <si>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</si>
  <si>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</si>
  <si>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</si>
  <si>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</si>
  <si>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</si>
  <si>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</si>
  <si>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</si>
  <si>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</si>
  <si>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</si>
  <si>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</si>
  <si>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</si>
  <si>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</si>
  <si>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</si>
  <si>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</si>
  <si>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</si>
  <si>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</si>
  <si>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</si>
  <si>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</si>
  <si>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</si>
  <si>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</si>
  <si>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</si>
  <si>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</si>
  <si>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</si>
  <si>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</si>
  <si>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</si>
  <si>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</si>
  <si>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</si>
  <si>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</si>
  <si>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</si>
  <si>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</si>
  <si>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</si>
  <si>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</si>
  <si>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</si>
  <si>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</si>
  <si>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</si>
  <si>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</si>
  <si>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</si>
  <si>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</si>
  <si>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</si>
  <si>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</si>
  <si>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</si>
  <si>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</si>
  <si>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</si>
  <si>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</si>
  <si>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</si>
  <si>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</si>
  <si>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</si>
  <si>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</si>
  <si>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</si>
  <si>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</si>
  <si>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</si>
  <si>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</si>
  <si>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</si>
  <si>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</si>
  <si>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</si>
  <si>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</si>
  <si>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</si>
  <si>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</si>
  <si>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</si>
  <si>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</si>
  <si>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</si>
  <si>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</si>
  <si>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</si>
  <si>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</si>
  <si>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</si>
  <si>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</si>
  <si>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</si>
  <si>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</si>
  <si>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</si>
  <si>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</si>
  <si>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</si>
  <si>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</si>
  <si>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</si>
  <si>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</si>
  <si>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</si>
  <si>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</si>
  <si>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</si>
  <si>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</si>
  <si>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</si>
  <si>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</si>
  <si>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</si>
  <si>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</si>
  <si>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</si>
  <si>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</si>
  <si>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</si>
  <si>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</si>
  <si>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</si>
  <si>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</si>
  <si>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</si>
  <si>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</si>
  <si>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</si>
  <si>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</si>
  <si>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</si>
  <si>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</si>
  <si>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</si>
  <si>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</si>
  <si>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</si>
  <si>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</si>
  <si>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</si>
  <si>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</si>
  <si>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</si>
  <si>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</si>
  <si>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</si>
  <si>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</si>
  <si>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</si>
  <si>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</si>
  <si>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</si>
  <si>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</si>
  <si>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</si>
  <si>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</si>
  <si>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</si>
  <si>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</si>
  <si>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</si>
  <si>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</si>
  <si>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</si>
  <si>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</si>
  <si>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</si>
  <si>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</si>
  <si>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</si>
  <si>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</si>
  <si>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</si>
  <si>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</si>
  <si>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</si>
  <si>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</si>
  <si>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</si>
  <si>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</si>
  <si>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</si>
  <si>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</si>
  <si>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</si>
  <si>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</si>
  <si>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</si>
  <si>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</si>
  <si>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</si>
  <si>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</si>
  <si>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</si>
  <si>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</si>
  <si>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</si>
  <si>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</si>
  <si>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</si>
  <si>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</si>
  <si>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</si>
  <si>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</si>
  <si>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</si>
  <si>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</si>
  <si>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</si>
  <si>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</si>
  <si>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</si>
  <si>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</si>
  <si>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</si>
  <si>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</si>
  <si>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</si>
  <si>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</si>
  <si>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</si>
  <si>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</si>
  <si>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</si>
  <si>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</si>
  <si>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</si>
  <si>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</si>
  <si>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</si>
  <si>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</si>
  <si>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</si>
  <si>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</si>
  <si>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</si>
  <si>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</si>
  <si>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</si>
  <si>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</si>
  <si>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</si>
  <si>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</si>
  <si>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</si>
  <si>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</si>
  <si>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</si>
  <si>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</si>
  <si>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</si>
  <si>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</si>
  <si>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</si>
  <si>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</si>
  <si>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</si>
  <si>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</si>
  <si>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</si>
  <si>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</si>
  <si>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</si>
  <si>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</si>
  <si>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</si>
  <si>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</si>
  <si>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</si>
  <si>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</si>
  <si>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</si>
  <si>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</si>
  <si>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</si>
  <si>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</si>
  <si>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</si>
  <si>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</si>
  <si>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</si>
  <si>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</si>
  <si>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</si>
  <si>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</si>
  <si>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</si>
  <si>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</si>
  <si>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</si>
  <si>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</si>
  <si>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</si>
  <si>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</si>
  <si>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</si>
  <si>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</si>
  <si>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</si>
  <si>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</si>
  <si>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</si>
  <si>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</si>
  <si>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</si>
  <si>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</si>
  <si>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</si>
  <si>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</si>
  <si>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</si>
  <si>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</si>
  <si>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</si>
  <si>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</si>
  <si>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</si>
  <si>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</si>
  <si>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</si>
  <si>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</si>
  <si>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</si>
  <si>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</si>
  <si>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</si>
  <si>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</si>
  <si>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</si>
  <si>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</si>
  <si>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</si>
  <si>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</si>
  <si>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</si>
  <si>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</si>
  <si>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</si>
  <si>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</si>
  <si>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</si>
  <si>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</si>
  <si>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</si>
  <si>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</si>
  <si>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</si>
  <si>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</si>
  <si>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</si>
  <si>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</si>
  <si>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</si>
  <si>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</si>
  <si>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</si>
  <si>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</si>
  <si>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</si>
  <si>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</si>
  <si>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</si>
  <si>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</si>
  <si>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</si>
  <si>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</si>
  <si>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</si>
  <si>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</si>
  <si>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</si>
  <si>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</si>
  <si>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</si>
  <si>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</si>
  <si>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</si>
  <si>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</si>
  <si>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</si>
  <si>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</si>
  <si>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</si>
  <si>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</si>
  <si>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</si>
  <si>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</si>
  <si>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</si>
  <si>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</si>
  <si>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</si>
  <si>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</si>
  <si>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</si>
  <si>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</si>
  <si>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</si>
  <si>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</si>
  <si>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</si>
  <si>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</si>
  <si>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</si>
  <si>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</si>
  <si>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</si>
  <si>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</si>
  <si>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</si>
  <si>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</si>
  <si>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</si>
  <si>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</si>
  <si>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</si>
  <si>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</si>
  <si>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</si>
  <si>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</si>
  <si>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</si>
  <si>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</si>
  <si>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</si>
  <si>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</si>
  <si>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</si>
  <si>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</si>
  <si>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</si>
  <si>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</si>
  <si>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</si>
  <si>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</si>
  <si>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</si>
  <si>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</si>
  <si>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</si>
  <si>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</si>
  <si>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</si>
  <si>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</si>
  <si>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</si>
  <si>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</si>
  <si>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</si>
  <si>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</si>
  <si>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</si>
  <si>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</si>
  <si>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</si>
  <si>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</si>
  <si>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</si>
  <si>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</si>
  <si>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</si>
  <si>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</si>
  <si>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</si>
  <si>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</si>
  <si>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</si>
  <si>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</si>
  <si>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</si>
  <si>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</si>
  <si>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</si>
  <si>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</si>
  <si>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</si>
  <si>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</si>
  <si>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</si>
  <si>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</si>
  <si>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</si>
  <si>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</si>
  <si>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</si>
  <si>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</si>
  <si>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</si>
  <si>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</si>
  <si>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</si>
  <si>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</si>
  <si>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</si>
  <si>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</si>
  <si>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</si>
  <si>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</si>
  <si>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</si>
  <si>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</si>
  <si>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</si>
  <si>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</si>
  <si>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</si>
  <si>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</si>
  <si>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</si>
  <si>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</si>
  <si>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</si>
  <si>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</si>
  <si>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</si>
  <si>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</si>
  <si>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</si>
  <si>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</si>
  <si>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</si>
  <si>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</si>
  <si>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</si>
  <si>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</si>
  <si>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</si>
  <si>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</si>
  <si>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</si>
  <si>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</si>
  <si>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</si>
  <si>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</si>
  <si>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</si>
  <si>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</si>
  <si>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</si>
  <si>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</si>
  <si>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</si>
  <si>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</si>
  <si>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</si>
  <si>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</si>
  <si>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</si>
  <si>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</si>
  <si>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</si>
  <si>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</si>
  <si>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</si>
  <si>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</si>
  <si>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</si>
  <si>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</si>
  <si>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</si>
  <si>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</si>
  <si>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</si>
  <si>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</si>
  <si>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</si>
  <si>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</si>
  <si>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</si>
  <si>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</si>
  <si>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</si>
  <si>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</si>
  <si>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</si>
  <si>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</si>
  <si>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</si>
  <si>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</si>
  <si>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</si>
  <si>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</si>
  <si>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</si>
  <si>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</si>
  <si>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</si>
  <si>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</si>
  <si>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</si>
  <si>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</si>
  <si>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</si>
  <si>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</si>
  <si>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</si>
  <si>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</si>
  <si>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</si>
  <si>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</si>
  <si>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</si>
  <si>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</si>
  <si>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</si>
  <si>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</si>
  <si>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</si>
  <si>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</si>
  <si>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</si>
  <si>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</si>
  <si>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</si>
  <si>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</si>
  <si>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</si>
  <si>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</si>
  <si>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</si>
  <si>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</si>
  <si>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</si>
  <si>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</si>
  <si>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</si>
  <si>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</si>
  <si>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</si>
  <si>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</si>
  <si>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</si>
  <si>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</si>
  <si>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</si>
  <si>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</si>
  <si>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</si>
  <si>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</si>
  <si>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</si>
  <si>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</si>
  <si>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</si>
  <si>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</si>
  <si>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</si>
  <si>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</si>
  <si>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</si>
  <si>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</si>
  <si>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</si>
  <si>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</si>
  <si>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</si>
  <si>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</si>
  <si>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</si>
  <si>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</si>
  <si>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</si>
  <si>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</si>
  <si>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</si>
  <si>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</si>
  <si>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</si>
  <si>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</si>
  <si>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</si>
  <si>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</si>
  <si>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</si>
  <si>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</si>
  <si>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</si>
  <si>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</si>
  <si>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</si>
  <si>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</si>
  <si>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</si>
  <si>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</si>
  <si>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</si>
  <si>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</si>
  <si>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</si>
  <si>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</si>
  <si>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</si>
  <si>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</si>
  <si>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</si>
  <si>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</si>
  <si>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</si>
  <si>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</si>
  <si>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</si>
  <si>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</si>
  <si>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</si>
  <si>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</si>
  <si>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</si>
  <si>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</si>
  <si>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</si>
  <si>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</si>
  <si>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</si>
  <si>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</si>
  <si>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</si>
  <si>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</si>
  <si>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</si>
  <si>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</si>
  <si>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</si>
  <si>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</si>
  <si>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</si>
  <si>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</si>
  <si>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</si>
  <si>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</si>
  <si>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</si>
  <si>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</si>
  <si>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</si>
  <si>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</si>
  <si>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</si>
  <si>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</si>
  <si>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</si>
  <si>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</si>
  <si>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</si>
  <si>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</si>
  <si>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</si>
  <si>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</si>
  <si>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</si>
  <si>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</si>
  <si>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</si>
  <si>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</si>
  <si>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</si>
  <si>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</si>
  <si>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</si>
  <si>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</si>
  <si>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</si>
  <si>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</si>
  <si>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</si>
  <si>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</si>
  <si>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</si>
  <si>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</si>
  <si>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</si>
  <si>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</si>
  <si>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</si>
  <si>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</si>
  <si>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</si>
  <si>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</si>
  <si>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</si>
  <si>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</si>
  <si>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</si>
  <si>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</si>
  <si>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</si>
  <si>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</si>
  <si>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</si>
  <si>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</si>
  <si>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</si>
  <si>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</si>
  <si>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</si>
  <si>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</si>
  <si>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</si>
  <si>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</si>
  <si>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</si>
  <si>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</si>
  <si>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</si>
  <si>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</si>
  <si>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</si>
  <si>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</si>
  <si>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</si>
  <si>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</si>
  <si>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</si>
  <si>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</si>
  <si>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</si>
  <si>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</si>
  <si>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</si>
  <si>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</si>
  <si>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</si>
  <si>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</si>
  <si>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</si>
  <si>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</si>
  <si>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</si>
  <si>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</si>
  <si>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</si>
  <si>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</si>
  <si>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</si>
  <si>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</si>
  <si>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</si>
  <si>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</si>
  <si>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</si>
  <si>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</si>
  <si>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</si>
  <si>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</si>
  <si>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</si>
  <si>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</si>
  <si>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</si>
  <si>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</si>
  <si>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</si>
  <si>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</si>
  <si>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</si>
  <si>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</si>
  <si>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</si>
  <si>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</si>
  <si>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</si>
  <si>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</si>
  <si>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</si>
  <si>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</si>
  <si>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</si>
  <si>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</si>
  <si>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</si>
  <si>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</si>
  <si>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</si>
  <si>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</si>
  <si>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</si>
  <si>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</si>
  <si>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</si>
  <si>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</si>
  <si>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</si>
  <si>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</si>
  <si>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</si>
  <si>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</si>
  <si>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</si>
  <si>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</si>
  <si>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</si>
  <si>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</si>
  <si>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</si>
  <si>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</si>
  <si>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</si>
  <si>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</si>
  <si>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</si>
  <si>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</si>
  <si>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</si>
  <si>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</si>
  <si>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</si>
  <si>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</si>
  <si>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</si>
  <si>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</si>
  <si>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</si>
  <si>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</si>
  <si>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</si>
  <si>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</si>
  <si>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</si>
  <si>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</si>
  <si>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</si>
  <si>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</si>
  <si>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</si>
  <si>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</si>
  <si>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</si>
  <si>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</si>
  <si>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</si>
  <si>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</si>
  <si>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</si>
  <si>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</si>
  <si>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</si>
  <si>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</si>
  <si>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</si>
  <si>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</si>
  <si>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</si>
  <si>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</si>
  <si>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</si>
  <si>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</si>
  <si>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</si>
  <si>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</si>
  <si>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</si>
  <si>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</si>
  <si>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</si>
  <si>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</si>
  <si>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</si>
  <si>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</si>
  <si>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</si>
  <si>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</si>
  <si>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</si>
  <si>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</si>
  <si>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</si>
  <si>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</si>
  <si>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</si>
  <si>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</si>
  <si>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</si>
  <si>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</si>
  <si>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</si>
  <si>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</si>
  <si>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</si>
  <si>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</si>
  <si>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</si>
  <si>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</si>
  <si>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</si>
  <si>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</si>
  <si>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</si>
  <si>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</si>
  <si>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</si>
  <si>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</si>
  <si>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</si>
  <si>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</si>
  <si>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</si>
  <si>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</si>
  <si>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</si>
  <si>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</si>
  <si>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</si>
  <si>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</si>
  <si>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</si>
  <si>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</si>
  <si>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</si>
  <si>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</si>
  <si>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</si>
  <si>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</si>
  <si>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</si>
  <si>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</si>
  <si>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</si>
  <si>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</si>
  <si>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</si>
  <si>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</si>
  <si>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</si>
  <si>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</si>
  <si>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</si>
  <si>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</si>
  <si>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</si>
  <si>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</si>
  <si>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</si>
  <si>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</si>
  <si>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</si>
  <si>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</si>
  <si>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</si>
  <si>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</si>
  <si>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</si>
  <si>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</si>
  <si>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</si>
  <si>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</si>
  <si>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</si>
  <si>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</si>
  <si>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</si>
  <si>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</si>
  <si>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</si>
  <si>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</si>
  <si>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</si>
  <si>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</si>
  <si>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</si>
  <si>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</si>
  <si>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</si>
  <si>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</si>
  <si>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</si>
  <si>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</si>
  <si>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</si>
  <si>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</si>
  <si>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</si>
  <si>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</si>
  <si>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</si>
  <si>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</si>
  <si>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</si>
  <si>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</si>
  <si>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</si>
  <si>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</si>
  <si>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</si>
  <si>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</si>
  <si>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</si>
  <si>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</si>
  <si>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</si>
  <si>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</si>
  <si>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</si>
  <si>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</si>
  <si>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</si>
  <si>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</si>
  <si>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</si>
  <si>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</si>
  <si>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</si>
  <si>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</si>
  <si>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</si>
  <si>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</si>
  <si>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</si>
  <si>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</si>
  <si>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</si>
  <si>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</si>
  <si>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</si>
  <si>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</si>
  <si>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</si>
  <si>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</si>
  <si>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</si>
  <si>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</si>
  <si>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</si>
  <si>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</si>
  <si>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</si>
  <si>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</si>
  <si>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</si>
  <si>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</si>
  <si>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</si>
  <si>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</si>
  <si>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</si>
  <si>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</si>
  <si>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</si>
  <si>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</si>
  <si>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</si>
  <si>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</si>
  <si>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</si>
  <si>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</si>
  <si>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</si>
  <si>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</si>
  <si>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</si>
  <si>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</si>
  <si>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</si>
  <si>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</si>
  <si>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</si>
  <si>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</si>
  <si>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</si>
  <si>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</si>
  <si>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</si>
  <si>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</si>
  <si>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</si>
  <si>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</si>
  <si>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</si>
  <si>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</si>
  <si>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</si>
  <si>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</si>
  <si>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</si>
  <si>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</si>
  <si>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</si>
  <si>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</si>
  <si>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</si>
  <si>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</si>
  <si>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</si>
  <si>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</si>
  <si>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</si>
  <si>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</si>
  <si>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</si>
  <si>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</si>
  <si>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</si>
  <si>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</si>
  <si>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</si>
  <si>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</si>
  <si>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</si>
  <si>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</si>
  <si>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</si>
  <si>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</si>
  <si>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</si>
  <si>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</si>
  <si>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</si>
  <si>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</si>
  <si>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</si>
  <si>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</si>
  <si>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</si>
  <si>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</si>
  <si>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</si>
  <si>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</si>
  <si>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</si>
  <si>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</si>
  <si>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</si>
  <si>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</si>
  <si>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</si>
  <si>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</si>
  <si>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</si>
  <si>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</si>
  <si>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</si>
  <si>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</si>
  <si>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</si>
  <si>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</si>
  <si>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</si>
  <si>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</si>
  <si>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</si>
  <si>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</si>
  <si>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</si>
  <si>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</si>
  <si>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</si>
  <si>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</si>
  <si>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</si>
  <si>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</si>
  <si>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</si>
  <si>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</si>
  <si>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</si>
  <si>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</si>
  <si>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</si>
  <si>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</si>
  <si>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</si>
  <si>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</si>
  <si>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</si>
  <si>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</si>
  <si>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</si>
  <si>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</si>
  <si>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</si>
  <si>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</si>
  <si>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</si>
  <si>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</si>
  <si>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</si>
  <si>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</si>
  <si>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</si>
  <si>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</si>
  <si>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</si>
  <si>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</si>
  <si>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</si>
  <si>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</si>
  <si>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</si>
  <si>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</si>
  <si>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</si>
  <si>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</si>
  <si>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</si>
  <si>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</si>
  <si>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</si>
  <si>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</si>
  <si>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</si>
  <si>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</si>
  <si>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</si>
  <si>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</si>
  <si>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</si>
  <si>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</si>
  <si>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</si>
  <si>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</si>
  <si>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</si>
  <si>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</si>
  <si>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</si>
  <si>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</si>
  <si>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</si>
  <si>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</si>
  <si>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</si>
  <si>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</si>
  <si>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</si>
  <si>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</si>
  <si>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</si>
  <si>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</si>
  <si>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</si>
  <si>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</si>
  <si>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</si>
  <si>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</si>
  <si>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</si>
  <si>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</si>
  <si>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</si>
  <si>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</si>
  <si>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</si>
  <si>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</si>
  <si>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</si>
  <si>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</si>
  <si>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</si>
  <si>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</si>
  <si>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</si>
  <si>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</si>
  <si>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</si>
  <si>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</si>
  <si>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</si>
  <si>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</si>
  <si>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</si>
  <si>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</si>
  <si>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</si>
  <si>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</si>
  <si>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</si>
  <si>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</si>
  <si>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</si>
  <si>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</si>
  <si>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</si>
  <si>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</si>
  <si>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</si>
  <si>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</si>
  <si>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</si>
  <si>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</si>
  <si>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</si>
  <si>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</si>
  <si>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</si>
  <si>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</si>
  <si>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</si>
  <si>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</si>
  <si>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</si>
  <si>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</si>
  <si>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</si>
  <si>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</si>
  <si>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</si>
  <si>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</si>
  <si>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</si>
  <si>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</si>
  <si>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</si>
  <si>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</si>
  <si>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</si>
  <si>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</si>
  <si>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</si>
  <si>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</si>
  <si>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</si>
  <si>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</si>
  <si>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</si>
  <si>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</si>
  <si>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</si>
  <si>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</si>
  <si>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</si>
  <si>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</si>
  <si>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</si>
  <si>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</si>
  <si>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</si>
  <si>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</si>
  <si>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</si>
  <si>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</si>
  <si>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</si>
  <si>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</si>
  <si>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</si>
  <si>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</si>
  <si>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</si>
  <si>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</si>
  <si>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</si>
  <si>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</si>
  <si>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</si>
  <si>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</si>
  <si>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</si>
  <si>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</si>
  <si>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</si>
  <si>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</si>
  <si>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</si>
  <si>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</si>
  <si>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</si>
  <si>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</si>
  <si>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</si>
  <si>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</si>
  <si>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</si>
  <si>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</si>
  <si>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</si>
  <si>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</si>
  <si>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</si>
  <si>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</si>
  <si>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</si>
  <si>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</si>
  <si>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</si>
  <si>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</si>
  <si>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</si>
  <si>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</si>
  <si>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</si>
  <si>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</si>
  <si>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</si>
  <si>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</si>
  <si>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</si>
  <si>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</si>
  <si>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</si>
  <si>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</si>
  <si>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</si>
  <si>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</si>
  <si>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</si>
  <si>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</si>
  <si>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</si>
  <si>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</si>
  <si>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</si>
  <si>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</si>
  <si>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</si>
  <si>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</si>
  <si>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</si>
  <si>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</si>
  <si>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</si>
  <si>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</si>
  <si>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</si>
  <si>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</si>
  <si>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</si>
  <si>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</si>
  <si>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</si>
  <si>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</si>
  <si>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</si>
  <si>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</si>
  <si>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</si>
  <si>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</si>
  <si>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</si>
  <si>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</si>
  <si>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</si>
  <si>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</si>
  <si>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</si>
  <si>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</si>
  <si>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</si>
  <si>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</si>
  <si>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</si>
  <si>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</si>
  <si>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</si>
  <si>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</si>
  <si>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</si>
  <si>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</si>
  <si>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</si>
  <si>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</si>
  <si>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</si>
  <si>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</si>
  <si>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</si>
  <si>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</si>
  <si>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</si>
  <si>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</si>
  <si>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</si>
  <si>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</si>
  <si>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</si>
  <si>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</si>
  <si>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</si>
  <si>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</si>
  <si>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</si>
  <si>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</si>
  <si>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</si>
  <si>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</si>
  <si>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</si>
  <si>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</si>
  <si>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</si>
  <si>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</si>
  <si>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</si>
  <si>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</si>
  <si>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</si>
  <si>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</si>
  <si>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</si>
  <si>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</si>
  <si>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</si>
  <si>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</si>
  <si>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</si>
  <si>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</si>
  <si>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</si>
  <si>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</si>
  <si>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</si>
  <si>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</si>
  <si>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</si>
  <si>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</si>
  <si>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</si>
  <si>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</si>
  <si>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</si>
  <si>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</si>
  <si>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</si>
  <si>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</si>
  <si>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</si>
  <si>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</si>
  <si>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</si>
  <si>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</si>
  <si>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</si>
  <si>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</si>
  <si>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</si>
  <si>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</si>
  <si>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</si>
  <si>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</si>
  <si>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</si>
  <si>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</si>
  <si>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</si>
  <si>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</si>
  <si>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</si>
  <si>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</si>
  <si>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</si>
  <si>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</si>
  <si>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</si>
  <si>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</si>
  <si>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</si>
  <si>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</si>
  <si>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</si>
  <si>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</si>
  <si>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</si>
  <si>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</si>
  <si>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</si>
  <si>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</si>
  <si>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</si>
  <si>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</si>
  <si>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</si>
  <si>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</si>
  <si>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</si>
  <si>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</si>
  <si>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</si>
  <si>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</si>
  <si>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</si>
  <si>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</si>
  <si>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</si>
  <si>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</si>
  <si>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</si>
  <si>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</si>
  <si>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</si>
  <si>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</si>
  <si>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</si>
  <si>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</si>
  <si>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</si>
  <si>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</si>
  <si>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</si>
  <si>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</si>
  <si>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</si>
  <si>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</si>
  <si>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</si>
  <si>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</si>
  <si>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</si>
  <si>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</si>
  <si>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</si>
  <si>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</si>
  <si>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</si>
  <si>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</si>
  <si>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</si>
  <si>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</si>
  <si>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</si>
  <si>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</si>
  <si>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</si>
  <si>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</si>
  <si>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</si>
  <si>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</si>
  <si>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</si>
  <si>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</si>
  <si>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</si>
  <si>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</si>
  <si>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</si>
  <si>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</si>
  <si>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</si>
  <si>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</si>
  <si>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</si>
  <si>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</si>
  <si>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</si>
  <si>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</si>
  <si>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</si>
  <si>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</si>
  <si>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</si>
  <si>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</si>
  <si>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</si>
  <si>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</si>
  <si>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</si>
  <si>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</si>
  <si>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</si>
  <si>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</si>
  <si>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</si>
  <si>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</si>
  <si>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</si>
  <si>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</si>
  <si>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</si>
  <si>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</si>
  <si>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</si>
  <si>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</si>
  <si>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</si>
  <si>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</si>
  <si>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</si>
  <si>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</si>
  <si>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</si>
  <si>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</si>
  <si>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</si>
  <si>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</si>
  <si>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</si>
  <si>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</si>
  <si>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</si>
  <si>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</si>
  <si>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</si>
  <si>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</si>
  <si>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</si>
  <si>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</si>
  <si>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</si>
  <si>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</si>
  <si>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</si>
  <si>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</si>
  <si>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</si>
  <si>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</si>
  <si>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</si>
  <si>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</si>
  <si>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</si>
  <si>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</si>
  <si>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</si>
  <si>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</si>
  <si>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</si>
  <si>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</si>
  <si>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</si>
  <si>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</si>
  <si>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</si>
  <si>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</si>
  <si>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</si>
  <si>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</si>
  <si>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</si>
  <si>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</si>
  <si>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</si>
  <si>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</si>
  <si>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</si>
  <si>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</si>
  <si>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</si>
  <si>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</si>
  <si>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</si>
  <si>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</si>
  <si>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</si>
  <si>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</si>
  <si>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</si>
  <si>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</si>
  <si>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</si>
  <si>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</si>
  <si>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</si>
  <si>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</si>
  <si>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</si>
  <si>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</si>
  <si>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</si>
  <si>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</si>
  <si>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</si>
  <si>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</si>
  <si>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</si>
  <si>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</si>
  <si>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</si>
  <si>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</si>
  <si>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</si>
  <si>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</si>
  <si>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</si>
  <si>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</si>
  <si>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</si>
  <si>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</si>
  <si>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</si>
  <si>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</si>
  <si>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</si>
  <si>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</si>
  <si>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</si>
  <si>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</si>
  <si>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</si>
  <si>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</si>
  <si>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</si>
  <si>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</si>
  <si>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</si>
  <si>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</si>
  <si>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</si>
  <si>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</si>
  <si>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</si>
  <si>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</si>
  <si>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</si>
  <si>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</si>
  <si>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</si>
  <si>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</si>
  <si>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</si>
  <si>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</si>
  <si>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</si>
  <si>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</si>
  <si>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</si>
  <si>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</si>
  <si>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</si>
  <si>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</si>
  <si>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</si>
  <si>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</si>
  <si>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</si>
  <si>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</si>
  <si>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</si>
  <si>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</si>
  <si>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</si>
  <si>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</si>
  <si>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</si>
  <si>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</si>
  <si>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</si>
  <si>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</si>
  <si>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</si>
  <si>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</si>
  <si>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</si>
  <si>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</si>
  <si>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</si>
  <si>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</si>
  <si>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</si>
  <si>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</si>
  <si>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</si>
  <si>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</si>
  <si>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</si>
  <si>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</si>
  <si>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</si>
  <si>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</si>
  <si>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</si>
  <si>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</si>
  <si>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</si>
  <si>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</si>
  <si>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</si>
  <si>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</si>
  <si>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</si>
  <si>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</si>
  <si>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</si>
  <si>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</si>
  <si>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</si>
  <si>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</si>
  <si>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</si>
  <si>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</si>
  <si>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</si>
  <si>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</si>
  <si>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</si>
  <si>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</si>
  <si>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</si>
  <si>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</si>
  <si>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</si>
  <si>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</si>
  <si>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</si>
  <si>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</si>
  <si>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</si>
  <si>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</si>
  <si>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</si>
  <si>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</si>
  <si>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</si>
  <si>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</si>
  <si>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</si>
  <si>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</si>
  <si>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</si>
  <si>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</si>
  <si>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</si>
  <si>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</si>
  <si>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</si>
  <si>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</si>
  <si>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</si>
  <si>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</si>
  <si>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</si>
  <si>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</si>
  <si>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</si>
  <si>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</si>
  <si>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</si>
  <si>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</si>
  <si>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</si>
  <si>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</si>
  <si>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</si>
  <si>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</si>
  <si>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</si>
  <si>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</si>
  <si>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</si>
  <si>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</si>
  <si>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</si>
  <si>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</si>
  <si>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</si>
  <si>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</si>
  <si>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</si>
  <si>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</si>
  <si>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</si>
  <si>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</si>
  <si>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</si>
  <si>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</si>
  <si>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</si>
  <si>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</si>
  <si>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</si>
  <si>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</si>
  <si>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</si>
  <si>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</si>
  <si>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</si>
  <si>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</si>
  <si>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</si>
  <si>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</si>
  <si>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</si>
  <si>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</si>
  <si>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</si>
  <si>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</si>
  <si>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</si>
  <si>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</si>
  <si>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</si>
  <si>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</si>
  <si>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</si>
  <si>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</si>
  <si>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</si>
  <si>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</si>
  <si>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</si>
  <si>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</si>
  <si>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</si>
  <si>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</si>
  <si>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</si>
  <si>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</si>
  <si>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</si>
  <si>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</si>
  <si>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</si>
  <si>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</si>
  <si>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</si>
  <si>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</si>
  <si>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</si>
  <si>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</si>
  <si>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</si>
  <si>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</si>
  <si>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</si>
  <si>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</si>
  <si>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</si>
  <si>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</si>
  <si>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</si>
  <si>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</si>
  <si>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</si>
  <si>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</si>
  <si>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</si>
  <si>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</si>
  <si>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</si>
  <si>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</si>
  <si>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</si>
  <si>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</si>
  <si>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</si>
  <si>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</si>
  <si>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</si>
  <si>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</si>
  <si>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</si>
  <si>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</si>
  <si>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</si>
  <si>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</si>
  <si>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</si>
  <si>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</si>
  <si>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</si>
  <si>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</si>
  <si>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</si>
  <si>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</si>
  <si>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</si>
  <si>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</si>
  <si>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</si>
  <si>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</si>
  <si>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</si>
  <si>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</si>
  <si>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</si>
  <si>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</si>
  <si>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</si>
  <si>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</si>
  <si>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</si>
  <si>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</si>
  <si>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</si>
  <si>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</si>
  <si>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</si>
  <si>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</si>
  <si>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</si>
  <si>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</si>
  <si>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</si>
  <si>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</si>
  <si>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</si>
  <si>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</si>
  <si>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</si>
  <si>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</si>
  <si>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</si>
  <si>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</si>
  <si>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</si>
  <si>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</si>
  <si>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</si>
  <si>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</si>
  <si>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</si>
  <si>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</si>
  <si>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</si>
  <si>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</si>
  <si>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</si>
  <si>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</si>
  <si>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</si>
  <si>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</si>
  <si>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</si>
  <si>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</si>
  <si>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</si>
  <si>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</si>
  <si>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</si>
  <si>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</si>
  <si>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</si>
  <si>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</si>
  <si>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</si>
  <si>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</si>
  <si>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</si>
  <si>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</si>
  <si>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</si>
  <si>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</si>
  <si>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</si>
  <si>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</si>
  <si>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</si>
  <si>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</si>
  <si>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</si>
  <si>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</si>
  <si>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</si>
  <si>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</si>
  <si>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</si>
  <si>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</si>
  <si>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</si>
  <si>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</si>
  <si>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</si>
  <si>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</si>
  <si>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</si>
  <si>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</si>
  <si>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</si>
  <si>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</si>
  <si>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</si>
  <si>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</si>
  <si>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</si>
  <si>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</si>
  <si>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</si>
  <si>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</si>
  <si>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</si>
  <si>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</si>
  <si>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</si>
  <si>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</si>
  <si>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</si>
  <si>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</si>
  <si>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</si>
  <si>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</si>
  <si>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</si>
  <si>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</si>
  <si>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</si>
  <si>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</si>
  <si>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</si>
  <si>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</si>
  <si>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</si>
  <si>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</si>
  <si>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</si>
  <si>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</si>
  <si>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</si>
  <si>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</si>
  <si>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</si>
  <si>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</si>
  <si>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</si>
  <si>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</si>
  <si>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</si>
  <si>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</si>
  <si>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</si>
  <si>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</si>
  <si>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</si>
  <si>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</si>
  <si>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</si>
  <si>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</si>
  <si>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</si>
  <si>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</si>
  <si>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</si>
  <si>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</si>
  <si>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</si>
  <si>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</si>
  <si>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</si>
  <si>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</si>
  <si>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</si>
  <si>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</si>
  <si>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</si>
  <si>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</si>
  <si>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</si>
  <si>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</si>
  <si>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</si>
  <si>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</si>
  <si>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</si>
  <si>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</si>
  <si>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</si>
  <si>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</si>
  <si>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</si>
  <si>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</si>
  <si>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</si>
  <si>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</si>
  <si>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</si>
  <si>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</si>
  <si>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</si>
  <si>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</si>
  <si>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</si>
  <si>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</si>
  <si>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</si>
  <si>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</si>
  <si>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</si>
  <si>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</si>
  <si>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</si>
  <si>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</si>
  <si>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</si>
  <si>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</si>
  <si>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</si>
  <si>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</si>
  <si>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</si>
  <si>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</si>
  <si>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</si>
  <si>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</si>
  <si>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</si>
  <si>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</si>
  <si>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</si>
  <si>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</si>
  <si>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</si>
  <si>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</si>
  <si>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</si>
  <si>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</si>
  <si>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</si>
  <si>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</si>
  <si>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</si>
  <si>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</si>
  <si>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</si>
  <si>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</si>
  <si>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</si>
  <si>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</si>
  <si>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</si>
  <si>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</si>
  <si>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</si>
  <si>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</si>
  <si>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</si>
  <si>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</si>
  <si>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</si>
  <si>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</si>
  <si>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</si>
  <si>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</si>
  <si>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</si>
  <si>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</si>
  <si>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</si>
  <si>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</si>
  <si>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</si>
  <si>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</si>
  <si>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</si>
  <si>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</si>
  <si>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</si>
  <si>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</si>
  <si>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</si>
  <si>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</si>
  <si>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</si>
  <si>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</si>
  <si>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</si>
  <si>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</si>
  <si>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</si>
  <si>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</si>
  <si>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</si>
  <si>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</si>
  <si>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</si>
  <si>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</si>
  <si>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</si>
  <si>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</si>
  <si>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</si>
  <si>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</si>
  <si>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</si>
  <si>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</si>
  <si>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</si>
  <si>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</si>
  <si>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</si>
  <si>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</si>
  <si>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</si>
  <si>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</si>
  <si>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</si>
  <si>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</si>
  <si>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</si>
  <si>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</si>
  <si>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</si>
  <si>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</si>
  <si>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</si>
  <si>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</si>
  <si>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</si>
  <si>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</si>
  <si>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</si>
  <si>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</si>
  <si>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</si>
  <si>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</si>
  <si>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</si>
  <si>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</si>
  <si>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</si>
  <si>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</si>
  <si>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</si>
  <si>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</si>
  <si>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</si>
  <si>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</si>
  <si>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</si>
  <si>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</si>
  <si>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</si>
  <si>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</si>
  <si>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</si>
  <si>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</si>
  <si>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</si>
  <si>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</si>
  <si>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</si>
  <si>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</si>
  <si>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</si>
  <si>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</si>
  <si>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</si>
  <si>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</si>
  <si>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</si>
  <si>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</si>
  <si>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</si>
  <si>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</si>
  <si>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</si>
  <si>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</si>
  <si>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</si>
  <si>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</si>
  <si>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</si>
  <si>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</si>
  <si>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</si>
  <si>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</si>
  <si>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</si>
  <si>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</si>
  <si>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</si>
  <si>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</si>
  <si>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</si>
  <si>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</si>
  <si>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</si>
  <si>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</si>
  <si>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</si>
  <si>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</si>
  <si>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</si>
  <si>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</si>
  <si>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</si>
  <si>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</si>
  <si>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</si>
  <si>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</si>
  <si>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</si>
  <si>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</si>
  <si>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</si>
  <si>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</si>
  <si>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</si>
  <si>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</si>
  <si>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</si>
  <si>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</si>
  <si>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</si>
  <si>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</si>
  <si>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</si>
  <si>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</si>
  <si>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</si>
  <si>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</si>
  <si>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</si>
  <si>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</si>
  <si>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</si>
  <si>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</si>
  <si>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</si>
  <si>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</si>
  <si>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</si>
  <si>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</si>
  <si>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</si>
  <si>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</si>
  <si>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</si>
  <si>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</si>
  <si>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</si>
  <si>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</si>
  <si>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</si>
  <si>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</si>
  <si>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</si>
  <si>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</si>
  <si>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</si>
  <si>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</si>
  <si>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</si>
  <si>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</si>
  <si>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</si>
  <si>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</si>
  <si>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</si>
  <si>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</si>
  <si>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</si>
  <si>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</si>
  <si>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</si>
  <si>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</si>
  <si>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</si>
  <si>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</si>
  <si>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</si>
  <si>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</si>
  <si>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</si>
  <si>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</si>
  <si>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</si>
  <si>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</si>
  <si>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</si>
  <si>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</si>
  <si>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</si>
  <si>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</si>
  <si>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</si>
  <si>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</si>
  <si>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</si>
  <si>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</si>
  <si>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</si>
  <si>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</si>
  <si>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</si>
  <si>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</si>
  <si>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</si>
  <si>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</si>
  <si>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</si>
  <si>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</si>
  <si>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</si>
  <si>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</si>
  <si>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</si>
  <si>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</si>
  <si>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</si>
  <si>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</si>
  <si>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</si>
  <si>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</si>
  <si>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</si>
  <si>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</si>
  <si>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</si>
  <si>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</si>
  <si>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</si>
  <si>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</si>
  <si>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</si>
  <si>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</si>
  <si>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</si>
  <si>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</si>
  <si>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</si>
  <si>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</si>
  <si>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</si>
  <si>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</si>
  <si>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</si>
  <si>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</si>
  <si>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</si>
  <si>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</si>
  <si>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</si>
  <si>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</si>
  <si>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</si>
  <si>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</si>
  <si>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</si>
  <si>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</si>
  <si>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</si>
  <si>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</si>
  <si>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</si>
  <si>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</si>
  <si>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</si>
  <si>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</si>
  <si>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</si>
  <si>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</si>
  <si>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</si>
  <si>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</si>
  <si>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</si>
  <si>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</si>
  <si>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</si>
  <si>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</si>
  <si>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</si>
  <si>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</si>
  <si>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</si>
  <si>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</si>
  <si>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</si>
  <si>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</si>
  <si>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</si>
  <si>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</si>
  <si>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</si>
  <si>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</si>
  <si>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</si>
  <si>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</si>
  <si>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</si>
  <si>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</si>
  <si>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</si>
  <si>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</si>
  <si>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</si>
  <si>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</si>
  <si>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</si>
  <si>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</si>
  <si>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</si>
  <si>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</si>
  <si>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</si>
  <si>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</si>
  <si>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</si>
  <si>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</si>
  <si>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</si>
  <si>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</si>
  <si>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</si>
  <si>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</si>
  <si>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</si>
  <si>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</si>
  <si>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</si>
  <si>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</si>
  <si>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</si>
  <si>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</si>
  <si>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</si>
  <si>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</si>
  <si>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</si>
  <si>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</si>
  <si>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</si>
  <si>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</si>
  <si>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</si>
  <si>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</si>
  <si>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</si>
  <si>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</si>
  <si>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</si>
  <si>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</si>
  <si>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</si>
  <si>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</si>
  <si>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</si>
  <si>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</si>
  <si>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</si>
  <si>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</si>
  <si>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</si>
  <si>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</si>
  <si>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</si>
  <si>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</si>
  <si>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</si>
  <si>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</si>
  <si>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</si>
  <si>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</si>
  <si>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</si>
  <si>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</si>
  <si>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</si>
  <si>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</si>
  <si>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</si>
  <si>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</si>
  <si>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</si>
  <si>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</si>
  <si>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</si>
  <si>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</si>
  <si>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</si>
  <si>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</si>
  <si>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</si>
  <si>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</si>
  <si>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</si>
  <si>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</si>
  <si>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</si>
  <si>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</si>
  <si>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</si>
  <si>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</si>
  <si>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</si>
  <si>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</si>
  <si>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</si>
  <si>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</si>
  <si>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</si>
  <si>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</si>
  <si>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</si>
  <si>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</si>
  <si>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</si>
  <si>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</si>
  <si>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</si>
  <si>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</si>
  <si>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</si>
  <si>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</si>
  <si>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</si>
  <si>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</si>
  <si>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</si>
  <si>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</si>
  <si>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</si>
  <si>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</si>
  <si>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</si>
  <si>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</si>
  <si>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</si>
  <si>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</si>
  <si>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</si>
  <si>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</si>
  <si>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</si>
  <si>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</si>
  <si>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</si>
  <si>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</si>
  <si>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</si>
  <si>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</si>
  <si>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</si>
  <si>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</si>
  <si>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</si>
  <si>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</si>
  <si>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</si>
  <si>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</si>
  <si>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</si>
  <si>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</si>
  <si>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</si>
  <si>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</si>
  <si>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</si>
  <si>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</si>
  <si>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</si>
  <si>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</si>
  <si>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</si>
  <si>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</si>
  <si>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</si>
  <si>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</si>
  <si>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</si>
  <si>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</si>
  <si>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</si>
  <si>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</si>
  <si>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</si>
  <si>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</si>
  <si>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</si>
  <si>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</si>
  <si>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</si>
  <si>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</si>
  <si>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</si>
  <si>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</si>
  <si>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</si>
  <si>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</si>
  <si>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</si>
  <si>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</si>
  <si>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</si>
  <si>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</si>
  <si>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</si>
  <si>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</si>
  <si>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</si>
  <si>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</si>
  <si>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</si>
  <si>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</si>
  <si>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</si>
  <si>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</si>
  <si>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</si>
  <si>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</si>
  <si>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</si>
  <si>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</si>
  <si>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</si>
  <si>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</si>
  <si>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</si>
  <si>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</si>
  <si>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</si>
  <si>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</si>
  <si>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</si>
  <si>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</si>
  <si>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</si>
  <si>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</si>
  <si>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</si>
  <si>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</si>
  <si>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</si>
  <si>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</si>
  <si>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</si>
  <si>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</si>
  <si>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</si>
  <si>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</si>
  <si>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</si>
  <si>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</si>
  <si>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</si>
  <si>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</si>
  <si>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</si>
  <si>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</si>
  <si>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</si>
  <si>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</si>
  <si>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</si>
  <si>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</si>
  <si>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</si>
  <si>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</si>
  <si>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</si>
  <si>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</si>
  <si>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</si>
  <si>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</si>
  <si>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</si>
  <si>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</si>
  <si>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</si>
  <si>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</si>
  <si>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</si>
  <si>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</si>
  <si>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</si>
  <si>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</si>
  <si>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</si>
  <si>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</si>
  <si>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</si>
  <si>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</si>
  <si>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</si>
  <si>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</si>
  <si>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</si>
  <si>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</si>
  <si>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</si>
  <si>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</si>
  <si>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</si>
  <si>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</si>
  <si>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</si>
  <si>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</si>
  <si>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</si>
  <si>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</si>
  <si>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</si>
  <si>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</si>
  <si>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</si>
  <si>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</si>
  <si>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</si>
  <si>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</si>
  <si>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</si>
  <si>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</si>
  <si>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</si>
  <si>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</si>
  <si>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</si>
  <si>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</si>
  <si>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</si>
  <si>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</si>
  <si>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</si>
  <si>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</si>
  <si>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</si>
  <si>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</si>
  <si>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</si>
  <si>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</si>
  <si>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</si>
  <si>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</si>
  <si>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</si>
  <si>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</si>
  <si>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</si>
  <si>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</si>
  <si>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</si>
  <si>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</si>
  <si>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</si>
  <si>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</si>
  <si>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</si>
  <si>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</si>
  <si>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</si>
  <si>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</si>
  <si>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</si>
  <si>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</si>
  <si>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</si>
  <si>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</si>
  <si>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</si>
  <si>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</si>
  <si>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</si>
  <si>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</si>
  <si>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</si>
  <si>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</si>
  <si>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</si>
  <si>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</si>
  <si>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</si>
  <si>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</si>
  <si>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</si>
  <si>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</si>
  <si>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</si>
  <si>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</si>
  <si>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</si>
  <si>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</si>
  <si>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</si>
  <si>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</si>
  <si>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</si>
  <si>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</si>
  <si>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</si>
  <si>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</si>
  <si>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</si>
  <si>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</si>
  <si>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</si>
  <si>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</si>
  <si>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</si>
  <si>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</si>
  <si>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</si>
  <si>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</si>
  <si>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</si>
  <si>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</si>
  <si>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</si>
  <si>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</si>
  <si>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</si>
  <si>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</si>
  <si>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</si>
  <si>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</si>
  <si>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</si>
  <si>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</si>
  <si>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</si>
  <si>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</si>
  <si>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</si>
  <si>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</si>
  <si>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</si>
  <si>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</si>
  <si>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</si>
  <si>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</si>
  <si>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</si>
  <si>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</si>
  <si>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</si>
  <si>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</si>
  <si>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</si>
  <si>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</si>
  <si>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</si>
  <si>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</si>
  <si>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</si>
  <si>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</si>
  <si>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</si>
  <si>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</si>
  <si>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</si>
  <si>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</si>
  <si>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</si>
  <si>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</si>
  <si>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</si>
  <si>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</si>
  <si>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</si>
  <si>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</si>
  <si>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</si>
  <si>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</si>
  <si>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</si>
  <si>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</si>
  <si>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</si>
  <si>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</si>
  <si>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</si>
  <si>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</si>
  <si>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</si>
  <si>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</si>
  <si>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</si>
  <si>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</si>
  <si>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</si>
  <si>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</si>
  <si>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</si>
  <si>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</si>
  <si>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</si>
  <si>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</si>
  <si>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</si>
  <si>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</si>
  <si>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</si>
  <si>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</si>
  <si>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</si>
  <si>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</si>
  <si>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</si>
  <si>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</si>
  <si>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</si>
  <si>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</si>
  <si>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</si>
  <si>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</si>
  <si>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</si>
  <si>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</si>
  <si>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</si>
  <si>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</si>
  <si>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</si>
  <si>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</si>
  <si>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</si>
  <si>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</si>
  <si>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</si>
  <si>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</si>
  <si>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</si>
  <si>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</si>
  <si>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</si>
  <si>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</si>
  <si>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</si>
  <si>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</si>
  <si>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</si>
  <si>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</si>
  <si>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</si>
  <si>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</si>
  <si>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</si>
  <si>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</si>
  <si>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</si>
  <si>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</si>
  <si>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</si>
  <si>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</si>
  <si>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</si>
  <si>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</si>
  <si>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</si>
  <si>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</si>
  <si>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</si>
  <si>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</si>
  <si>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</si>
  <si>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</si>
  <si>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</si>
  <si>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</si>
  <si>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</si>
  <si>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</si>
  <si>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</si>
  <si>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</si>
  <si>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</si>
  <si>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</si>
  <si>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</si>
  <si>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</si>
  <si>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</si>
  <si>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</si>
  <si>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</si>
  <si>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</si>
  <si>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</si>
  <si>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</si>
  <si>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</si>
  <si>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</si>
  <si>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</si>
  <si>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</si>
  <si>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</si>
  <si>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</si>
  <si>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</si>
  <si>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</si>
  <si>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</si>
  <si>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</si>
  <si>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</si>
  <si>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</si>
  <si>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</si>
  <si>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</si>
  <si>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</si>
  <si>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</si>
  <si>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</si>
  <si>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</si>
  <si>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</si>
  <si>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</si>
  <si>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</si>
  <si>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</si>
  <si>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</si>
  <si>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</si>
  <si>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</si>
  <si>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</si>
  <si>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</si>
  <si>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</si>
  <si>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</si>
  <si>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</si>
  <si>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</si>
  <si>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</si>
  <si>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</si>
  <si>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</si>
  <si>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</si>
  <si>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</si>
  <si>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</si>
  <si>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</si>
  <si>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</si>
  <si>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</si>
  <si>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</si>
  <si>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</si>
  <si>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</si>
  <si>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</si>
  <si>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</si>
  <si>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</si>
  <si>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</si>
  <si>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</si>
  <si>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</si>
  <si>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</si>
  <si>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</si>
  <si>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</si>
  <si>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</si>
  <si>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</si>
  <si>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</si>
  <si>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</si>
  <si>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</si>
  <si>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</si>
  <si>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</si>
  <si>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</si>
  <si>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</si>
  <si>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</si>
  <si>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</si>
  <si>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</si>
  <si>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</si>
  <si>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</si>
  <si>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</si>
  <si>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</si>
  <si>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</si>
  <si>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</si>
  <si>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</si>
  <si>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</si>
  <si>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</si>
  <si>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</si>
  <si>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</si>
  <si>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</si>
  <si>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</si>
  <si>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</si>
  <si>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</si>
  <si>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</si>
  <si>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</si>
  <si>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</si>
  <si>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</si>
  <si>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</si>
  <si>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</si>
  <si>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</si>
  <si>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</si>
  <si>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</si>
  <si>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</si>
  <si>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</si>
  <si>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</si>
  <si>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</si>
  <si>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</si>
  <si>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</si>
  <si>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</si>
  <si>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</si>
  <si>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</si>
  <si>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</si>
  <si>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</si>
  <si>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</si>
  <si>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</si>
  <si>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</si>
  <si>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</si>
  <si>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</si>
  <si>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</si>
  <si>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</si>
  <si>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</si>
  <si>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</si>
  <si>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</si>
  <si>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</si>
  <si>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</si>
  <si>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</si>
  <si>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</si>
  <si>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</si>
  <si>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</si>
  <si>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</si>
  <si>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</si>
  <si>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</si>
  <si>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</si>
  <si>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</si>
  <si>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</si>
  <si>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</si>
  <si>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</si>
  <si>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</si>
  <si>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</si>
  <si>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</si>
  <si>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</si>
  <si>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</si>
  <si>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</si>
  <si>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</si>
  <si>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</si>
  <si>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</si>
  <si>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</si>
  <si>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</si>
  <si>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</si>
  <si>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</si>
  <si>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</si>
  <si>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</si>
  <si>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</si>
  <si>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</si>
  <si>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</si>
  <si>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</si>
  <si>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</si>
  <si>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</si>
  <si>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</si>
  <si>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</si>
  <si>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</si>
  <si>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</si>
  <si>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</si>
  <si>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</si>
  <si>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</si>
  <si>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</si>
  <si>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</si>
  <si>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</si>
  <si>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</si>
  <si>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</si>
  <si>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</si>
  <si>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</si>
  <si>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</si>
  <si>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</si>
  <si>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</si>
  <si>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</si>
  <si>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</si>
  <si>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</si>
  <si>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</si>
  <si>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</si>
  <si>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</si>
  <si>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</si>
  <si>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</si>
  <si>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</si>
  <si>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</si>
  <si>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</si>
  <si>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</si>
  <si>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</si>
  <si>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</si>
  <si>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</si>
  <si>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</si>
  <si>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</si>
  <si>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</si>
  <si>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</si>
  <si>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</si>
  <si>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</si>
  <si>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</si>
  <si>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</si>
  <si>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</si>
  <si>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</si>
  <si>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</si>
  <si>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</si>
  <si>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</si>
  <si>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</si>
  <si>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</si>
  <si>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</si>
  <si>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</si>
  <si>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</si>
  <si>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</si>
  <si>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</si>
  <si>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</si>
  <si>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</si>
  <si>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</si>
  <si>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</si>
  <si>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</si>
  <si>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</si>
  <si>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</si>
  <si>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</si>
  <si>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</si>
  <si>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</si>
  <si>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</si>
  <si>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</si>
  <si>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</si>
  <si>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</si>
  <si>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</si>
  <si>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</si>
  <si>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</si>
  <si>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</si>
  <si>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</si>
  <si>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</si>
  <si>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</si>
  <si>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</si>
  <si>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</si>
  <si>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</si>
  <si>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</si>
  <si>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</si>
  <si>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</si>
  <si>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</si>
  <si>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</si>
  <si>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</si>
  <si>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</si>
  <si>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</si>
  <si>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</si>
  <si>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</si>
  <si>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</si>
  <si>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</si>
  <si>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</si>
  <si>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</si>
  <si>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</si>
  <si>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</si>
  <si>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</si>
  <si>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</si>
  <si>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</si>
  <si>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</si>
  <si>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</si>
  <si>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</si>
  <si>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</si>
  <si>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</si>
  <si>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</si>
  <si>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</si>
  <si>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</si>
  <si>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</si>
  <si>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</si>
  <si>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</si>
  <si>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</si>
  <si>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</si>
  <si>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</si>
  <si>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</si>
  <si>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</si>
  <si>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</si>
  <si>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</si>
  <si>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</si>
  <si>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</si>
  <si>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</si>
  <si>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</si>
  <si>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</si>
  <si>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</si>
  <si>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</si>
  <si>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</si>
  <si>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</si>
  <si>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</si>
  <si>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</si>
  <si>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</si>
  <si>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</si>
  <si>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</si>
  <si>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</si>
  <si>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</si>
  <si>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</si>
  <si>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</si>
  <si>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</si>
  <si>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</si>
  <si>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</si>
  <si>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</si>
  <si>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</si>
  <si>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</si>
  <si>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</si>
  <si>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</si>
  <si>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</si>
  <si>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</si>
  <si>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</si>
  <si>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</si>
  <si>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</si>
  <si>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</si>
  <si>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</si>
  <si>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</si>
  <si>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</si>
  <si>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</si>
  <si>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</si>
  <si>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</si>
  <si>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</si>
  <si>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</si>
  <si>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</si>
  <si>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</si>
  <si>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</si>
  <si>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</si>
  <si>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</si>
  <si>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</si>
  <si>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</si>
  <si>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</si>
  <si>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</si>
  <si>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</si>
  <si>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</si>
  <si>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</si>
  <si>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</si>
  <si>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</si>
  <si>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</si>
  <si>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</si>
  <si>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</si>
  <si>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</si>
  <si>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</si>
  <si>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</si>
  <si>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</si>
  <si>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</si>
  <si>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</si>
  <si>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</si>
  <si>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</si>
  <si>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</si>
  <si>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</si>
  <si>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</si>
  <si>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</si>
  <si>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</si>
  <si>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</si>
  <si>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</si>
  <si>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</si>
  <si>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</si>
  <si>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</si>
  <si>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</si>
  <si>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</si>
  <si>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</si>
  <si>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</si>
  <si>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</si>
  <si>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</si>
  <si>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</si>
  <si>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</si>
  <si>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</si>
  <si>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</si>
  <si>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</si>
  <si>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</si>
  <si>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</si>
  <si>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</si>
  <si>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</si>
  <si>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</si>
  <si>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</si>
  <si>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</si>
  <si>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</si>
  <si>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</si>
  <si>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</si>
  <si>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</si>
  <si>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</si>
  <si>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</si>
  <si>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</si>
  <si>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</si>
  <si>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</si>
  <si>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</si>
  <si>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</si>
  <si>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</si>
  <si>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</si>
  <si>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</si>
  <si>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</si>
  <si>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</si>
  <si>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</si>
  <si>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</si>
  <si>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</si>
  <si>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</si>
  <si>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</si>
  <si>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</si>
  <si>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</si>
  <si>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</si>
  <si>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</si>
  <si>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</si>
  <si>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</si>
  <si>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</si>
  <si>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</si>
  <si>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</si>
  <si>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</si>
  <si>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</si>
  <si>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</si>
  <si>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</si>
  <si>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</si>
  <si>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</si>
  <si>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</si>
  <si>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</si>
  <si>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</si>
  <si>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</si>
  <si>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</si>
  <si>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</si>
  <si>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</si>
  <si>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</si>
  <si>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</si>
  <si>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</si>
  <si>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</si>
  <si>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</si>
  <si>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</si>
  <si>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</si>
  <si>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</si>
  <si>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</si>
  <si>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</si>
  <si>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</si>
  <si>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</si>
  <si>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</si>
  <si>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</si>
  <si>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</si>
  <si>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</si>
  <si>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</si>
  <si>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</si>
  <si>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</si>
  <si>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</si>
  <si>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</si>
  <si>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</si>
  <si>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</si>
  <si>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</si>
  <si>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</si>
  <si>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</si>
  <si>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</si>
  <si>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</si>
  <si>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</si>
  <si>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</si>
  <si>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</si>
  <si>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</si>
  <si>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</si>
  <si>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</si>
  <si>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</si>
  <si>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</si>
  <si>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</si>
  <si>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</si>
  <si>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</si>
  <si>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</si>
  <si>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</si>
  <si>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</si>
  <si>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</si>
  <si>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</si>
  <si>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</si>
  <si>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</si>
  <si>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</si>
  <si>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</si>
  <si>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</si>
  <si>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</si>
  <si>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</si>
  <si>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</si>
  <si>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</si>
  <si>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</si>
  <si>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</si>
  <si>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</si>
  <si>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</si>
  <si>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</si>
  <si>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</si>
  <si>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</si>
  <si>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</si>
  <si>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</si>
  <si>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</si>
  <si>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</si>
  <si>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</si>
  <si>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</si>
  <si>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</si>
  <si>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</si>
  <si>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</si>
  <si>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</si>
  <si>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</si>
  <si>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</si>
  <si>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</si>
  <si>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</si>
  <si>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</si>
  <si>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</si>
  <si>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</si>
  <si>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</si>
  <si>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</si>
  <si>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</si>
  <si>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</si>
  <si>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</si>
  <si>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</si>
  <si>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</si>
  <si>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</si>
  <si>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</si>
  <si>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</si>
  <si>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</si>
  <si>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</si>
  <si>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</si>
  <si>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</si>
  <si>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</si>
  <si>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</si>
  <si>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</si>
  <si>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</si>
  <si>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</si>
  <si>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</si>
  <si>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</si>
  <si>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</si>
  <si>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</si>
  <si>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</si>
  <si>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</si>
  <si>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</si>
  <si>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</si>
  <si>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</si>
  <si>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</si>
  <si>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</si>
  <si>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</si>
  <si>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</si>
  <si>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</si>
  <si>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</si>
  <si>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</si>
  <si>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</si>
  <si>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</si>
  <si>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</si>
  <si>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</si>
  <si>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</si>
  <si>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</si>
  <si>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</si>
  <si>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</si>
  <si>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</si>
  <si>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</si>
  <si>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</si>
  <si>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</si>
  <si>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</si>
  <si>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</si>
  <si>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</si>
  <si>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</si>
  <si>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</si>
  <si>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</si>
  <si>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</si>
  <si>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</si>
  <si>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</si>
  <si>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</si>
  <si>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</si>
  <si>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</si>
  <si>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</si>
  <si>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</si>
  <si>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</si>
  <si>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</si>
  <si>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</si>
  <si>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</si>
  <si>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</si>
  <si>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</si>
  <si>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</si>
  <si>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</si>
  <si>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</si>
  <si>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</si>
  <si>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</si>
  <si>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</si>
  <si>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</si>
  <si>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</si>
  <si>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</si>
  <si>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</si>
  <si>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</si>
  <si>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</si>
  <si>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</si>
  <si>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</si>
  <si>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</si>
  <si>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</si>
  <si>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</si>
  <si>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</si>
  <si>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</si>
  <si>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</si>
  <si>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</si>
  <si>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</si>
  <si>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</si>
  <si>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</si>
  <si>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</si>
  <si>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</si>
  <si>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</si>
  <si>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</si>
  <si>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</si>
  <si>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</si>
  <si>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</si>
  <si>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</si>
  <si>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</si>
  <si>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</si>
  <si>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</si>
  <si>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</si>
  <si>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</si>
  <si>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</si>
  <si>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</si>
  <si>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</si>
  <si>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</si>
  <si>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</si>
  <si>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</si>
  <si>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</si>
  <si>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</si>
  <si>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</si>
  <si>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</si>
  <si>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</si>
  <si>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</si>
  <si>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</si>
  <si>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</si>
  <si>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</si>
  <si>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</si>
  <si>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</si>
  <si>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</si>
  <si>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</si>
  <si>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</si>
  <si>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</si>
  <si>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</si>
  <si>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</si>
  <si>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</si>
  <si>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</si>
  <si>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</si>
  <si>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</si>
  <si>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</si>
  <si>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</si>
  <si>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</si>
  <si>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</si>
  <si>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</si>
  <si>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</si>
  <si>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</si>
  <si>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</si>
  <si>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</si>
  <si>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</si>
  <si>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</si>
  <si>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</si>
  <si>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</si>
  <si>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</si>
  <si>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</si>
  <si>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</si>
  <si>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</si>
  <si>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</si>
  <si>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</si>
  <si>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</si>
  <si>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</si>
  <si>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</si>
  <si>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</si>
  <si>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</si>
  <si>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</si>
  <si>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</si>
  <si>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</si>
  <si>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</si>
  <si>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</si>
  <si>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</si>
  <si>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</si>
  <si>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</si>
  <si>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</si>
  <si>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</si>
  <si>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</si>
  <si>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</si>
  <si>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</si>
  <si>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</si>
  <si>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</si>
  <si>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</si>
  <si>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</si>
  <si>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</si>
  <si>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</si>
  <si>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</si>
  <si>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</si>
  <si>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</si>
  <si>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</si>
  <si>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</si>
  <si>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</si>
  <si>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</si>
  <si>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</si>
  <si>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</si>
  <si>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</si>
  <si>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</si>
  <si>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</si>
  <si>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</si>
  <si>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</si>
  <si>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</si>
  <si>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</si>
  <si>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</si>
  <si>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</si>
  <si>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</si>
  <si>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</si>
  <si>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</si>
  <si>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</si>
  <si>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</si>
  <si>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</si>
  <si>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</si>
  <si>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</si>
  <si>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</si>
  <si>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</si>
  <si>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</si>
  <si>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</si>
  <si>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</si>
  <si>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</si>
  <si>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</si>
  <si>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</si>
  <si>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</si>
  <si>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</si>
  <si>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</si>
  <si>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</si>
  <si>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</si>
  <si>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</si>
  <si>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</si>
  <si>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</si>
  <si>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</si>
  <si>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</si>
  <si>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</si>
  <si>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</si>
  <si>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</si>
  <si>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</si>
  <si>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</si>
  <si>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</si>
  <si>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</si>
  <si>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</si>
  <si>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</si>
  <si>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</si>
  <si>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</si>
  <si>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</si>
  <si>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</si>
  <si>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</si>
  <si>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</si>
  <si>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</si>
  <si>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</si>
  <si>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</si>
  <si>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</si>
  <si>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</si>
  <si>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</si>
  <si>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</si>
  <si>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</si>
  <si>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</si>
  <si>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</si>
  <si>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</si>
  <si>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</si>
  <si>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</si>
  <si>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</si>
  <si>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</si>
  <si>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</si>
  <si>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</si>
  <si>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</si>
  <si>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</si>
  <si>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</si>
  <si>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</si>
  <si>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</si>
  <si>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</si>
  <si>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</si>
  <si>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</si>
  <si>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</si>
  <si>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</si>
  <si>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</si>
  <si>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</si>
  <si>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</si>
  <si>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</si>
  <si>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</si>
  <si>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</si>
  <si>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</si>
  <si>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</si>
  <si>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</si>
  <si>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</si>
  <si>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</si>
  <si>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</si>
  <si>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</si>
  <si>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</si>
  <si>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</si>
  <si>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</si>
  <si>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</si>
  <si>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</si>
  <si>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</si>
  <si>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</si>
  <si>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</si>
  <si>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</si>
  <si>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</si>
  <si>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</si>
  <si>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</si>
  <si>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</si>
  <si>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</si>
  <si>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</si>
  <si>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</si>
  <si>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</si>
  <si>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</si>
  <si>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</si>
  <si>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</si>
  <si>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</si>
  <si>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</si>
  <si>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</si>
  <si>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</si>
  <si>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</si>
  <si>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</si>
  <si>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</si>
  <si>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</si>
  <si>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</si>
  <si>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</si>
  <si>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</si>
  <si>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</si>
  <si>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</si>
  <si>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</si>
  <si>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</si>
  <si>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</si>
  <si>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</si>
  <si>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</si>
  <si>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</si>
  <si>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</si>
  <si>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</si>
  <si>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</si>
  <si>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</si>
  <si>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</si>
  <si>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</si>
  <si>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</si>
  <si>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</si>
  <si>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</si>
  <si>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</si>
  <si>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</si>
  <si>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</si>
  <si>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</si>
  <si>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</si>
  <si>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</si>
  <si>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</si>
  <si>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</si>
  <si>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</si>
  <si>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</si>
  <si>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</si>
  <si>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</si>
  <si>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</si>
  <si>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</si>
  <si>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</si>
  <si>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</si>
  <si>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</si>
  <si>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</si>
  <si>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</si>
  <si>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</si>
  <si>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</si>
  <si>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</si>
  <si>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</si>
  <si>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</si>
  <si>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</si>
  <si>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</si>
  <si>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</si>
  <si>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</si>
  <si>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</si>
  <si>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</si>
  <si>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</si>
  <si>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</si>
  <si>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</si>
  <si>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</si>
  <si>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</si>
  <si>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</si>
  <si>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</si>
  <si>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</si>
  <si>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</si>
  <si>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</si>
  <si>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</si>
  <si>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</si>
  <si>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</si>
  <si>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</si>
  <si>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</si>
  <si>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</si>
  <si>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</si>
  <si>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</si>
  <si>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</si>
  <si>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</si>
  <si>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</si>
  <si>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</si>
  <si>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</si>
  <si>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</si>
  <si>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</si>
  <si>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</si>
  <si>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</si>
  <si>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</si>
  <si>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</si>
  <si>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</si>
  <si>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</si>
  <si>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</si>
  <si>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</si>
  <si>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</si>
  <si>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</si>
  <si>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</si>
  <si>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</si>
  <si>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</si>
  <si>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</si>
  <si>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</si>
  <si>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</si>
  <si>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</si>
  <si>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</si>
  <si>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</si>
  <si>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</si>
  <si>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</si>
  <si>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</si>
  <si>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</si>
  <si>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</si>
  <si>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</si>
  <si>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</si>
  <si>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</si>
  <si>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</si>
  <si>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</si>
  <si>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</si>
  <si>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</si>
  <si>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</si>
  <si>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</si>
  <si>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</si>
  <si>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</si>
  <si>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</si>
  <si>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</si>
  <si>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</si>
  <si>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</si>
  <si>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</si>
  <si>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</si>
  <si>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</si>
  <si>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</si>
  <si>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</si>
  <si>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</si>
  <si>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</si>
  <si>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</si>
  <si>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</si>
  <si>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</si>
  <si>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</si>
  <si>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</si>
  <si>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</si>
  <si>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</si>
  <si>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</si>
  <si>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</si>
  <si>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</si>
  <si>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</si>
  <si>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</si>
  <si>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</si>
  <si>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</si>
  <si>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</si>
  <si>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</si>
  <si>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</si>
  <si>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</si>
  <si>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</si>
  <si>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</si>
  <si>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</si>
  <si>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</si>
  <si>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</si>
  <si>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</si>
  <si>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</si>
  <si>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</si>
  <si>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</si>
  <si>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</si>
  <si>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</si>
  <si>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</si>
  <si>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</si>
  <si>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</si>
  <si>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</si>
  <si>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</si>
  <si>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</si>
  <si>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</si>
  <si>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</si>
  <si>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</si>
  <si>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</si>
  <si>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</si>
  <si>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</si>
  <si>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</si>
  <si>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</si>
  <si>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</si>
  <si>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</si>
  <si>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</si>
  <si>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</si>
  <si>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</si>
  <si>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</si>
  <si>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</si>
  <si>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</si>
  <si>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</si>
  <si>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</si>
  <si>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</si>
  <si>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</si>
  <si>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</si>
  <si>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</si>
  <si>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</si>
  <si>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</si>
  <si>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</si>
  <si>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</si>
  <si>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</si>
  <si>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</si>
  <si>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</si>
  <si>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</si>
  <si>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</si>
  <si>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</si>
  <si>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</si>
  <si>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</si>
  <si>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</si>
  <si>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</si>
  <si>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</si>
  <si>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</si>
  <si>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</si>
  <si>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</si>
  <si>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</si>
  <si>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</si>
  <si>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</si>
  <si>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</si>
  <si>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</si>
  <si>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</si>
  <si>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</si>
  <si>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</si>
  <si>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</si>
  <si>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</si>
  <si>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</si>
  <si>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</si>
  <si>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</si>
  <si>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</si>
  <si>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</si>
  <si>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</si>
  <si>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</si>
  <si>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</si>
  <si>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</si>
  <si>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</si>
  <si>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</si>
  <si>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</si>
  <si>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</si>
  <si>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</si>
  <si>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</si>
  <si>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</si>
  <si>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</si>
  <si>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</si>
  <si>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</si>
  <si>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</si>
  <si>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</si>
  <si>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</si>
  <si>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</si>
  <si>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</si>
  <si>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</si>
  <si>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</si>
  <si>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</si>
  <si>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</si>
  <si>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</si>
  <si>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</si>
  <si>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</si>
  <si>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</si>
  <si>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</si>
  <si>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</si>
  <si>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</si>
  <si>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</si>
  <si>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</si>
  <si>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</si>
  <si>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</si>
  <si>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</si>
  <si>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</si>
  <si>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</si>
  <si>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</si>
  <si>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</si>
  <si>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</si>
  <si>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</si>
  <si>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</si>
  <si>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</si>
  <si>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</si>
  <si>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</si>
  <si>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</si>
  <si>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</si>
  <si>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</si>
  <si>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</si>
  <si>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</si>
  <si>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</si>
  <si>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</si>
  <si>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</si>
  <si>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</si>
  <si>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</si>
  <si>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</si>
  <si>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</si>
  <si>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</si>
  <si>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</si>
  <si>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</si>
  <si>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</si>
  <si>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</si>
  <si>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</si>
  <si>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</si>
  <si>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</si>
  <si>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</si>
  <si>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</si>
  <si>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</si>
  <si>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</si>
  <si>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</si>
  <si>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</si>
  <si>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</si>
  <si>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</si>
  <si>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</si>
  <si>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</si>
  <si>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</si>
  <si>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</si>
  <si>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</si>
  <si>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</si>
  <si>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</si>
  <si>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</si>
  <si>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</si>
  <si>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</si>
  <si>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</si>
  <si>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</si>
  <si>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</si>
  <si>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</si>
  <si>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</si>
  <si>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</si>
  <si>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</si>
  <si>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</si>
  <si>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</si>
  <si>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</si>
  <si>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</si>
  <si>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</si>
  <si>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</si>
  <si>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</si>
  <si>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</si>
  <si>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</si>
  <si>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</si>
  <si>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</si>
  <si>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</si>
  <si>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</si>
  <si>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</si>
  <si>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</si>
  <si>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</si>
  <si>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</si>
  <si>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</si>
  <si>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</si>
  <si>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</si>
  <si>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</si>
  <si>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</si>
  <si>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</si>
  <si>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</si>
  <si>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</si>
  <si>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</si>
  <si>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</si>
  <si>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</si>
  <si>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</si>
  <si>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</si>
  <si>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</si>
  <si>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</si>
  <si>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</si>
  <si>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</si>
  <si>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</si>
  <si>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</si>
  <si>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</si>
  <si>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</si>
  <si>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</si>
  <si>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</si>
  <si>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</si>
  <si>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</si>
  <si>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</si>
  <si>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</si>
  <si>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</si>
  <si>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</si>
  <si>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</si>
  <si>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</si>
  <si>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</si>
  <si>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</si>
  <si>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</si>
  <si>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</si>
  <si>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</si>
  <si>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</si>
  <si>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</si>
  <si>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</si>
  <si>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</si>
  <si>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</si>
  <si>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</si>
  <si>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</si>
  <si>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</si>
  <si>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</si>
  <si>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</si>
  <si>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</si>
  <si>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</si>
  <si>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</si>
  <si>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</si>
  <si>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</si>
  <si>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</si>
  <si>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</si>
  <si>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</si>
  <si>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</si>
  <si>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</si>
  <si>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</si>
  <si>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</si>
  <si>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</si>
  <si>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</si>
  <si>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</si>
  <si>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</si>
  <si>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</si>
  <si>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</si>
  <si>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</si>
  <si>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</si>
  <si>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</si>
  <si>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</si>
  <si>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</si>
  <si>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</si>
  <si>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</si>
  <si>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</si>
  <si>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</si>
  <si>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</si>
  <si>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</si>
  <si>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</si>
  <si>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</si>
  <si>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</si>
  <si>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</si>
  <si>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</si>
  <si>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</si>
  <si>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</si>
  <si>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</si>
  <si>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</si>
  <si>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</si>
  <si>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</si>
  <si>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</si>
  <si>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</si>
  <si>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</si>
  <si>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</si>
  <si>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</si>
  <si>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</si>
  <si>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</si>
  <si>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</si>
  <si>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</si>
  <si>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</si>
  <si>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</si>
  <si>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</si>
  <si>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</si>
  <si>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</si>
  <si>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</si>
  <si>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</si>
  <si>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</si>
  <si>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</si>
  <si>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</si>
  <si>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</si>
  <si>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</si>
  <si>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</si>
  <si>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</si>
  <si>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</si>
  <si>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</si>
  <si>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</si>
  <si>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</si>
  <si>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</si>
  <si>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</si>
  <si>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</si>
  <si>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</si>
  <si>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</si>
  <si>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</si>
  <si>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</si>
  <si>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</si>
  <si>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</si>
  <si>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</si>
  <si>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</si>
  <si>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</si>
  <si>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</si>
  <si>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</si>
  <si>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</si>
  <si>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</si>
  <si>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</si>
  <si>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</si>
  <si>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</si>
  <si>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</si>
  <si>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</si>
  <si>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</si>
  <si>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</si>
  <si>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</si>
  <si>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</si>
  <si>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</si>
  <si>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</si>
  <si>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</si>
  <si>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</si>
  <si>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</si>
  <si>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</si>
  <si>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</si>
  <si>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</si>
  <si>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</si>
  <si>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</si>
  <si>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</si>
  <si>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</si>
  <si>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</si>
  <si>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</si>
  <si>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</si>
  <si>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</si>
  <si>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</si>
  <si>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</si>
  <si>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</si>
  <si>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</si>
  <si>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</si>
  <si>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</si>
  <si>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</si>
  <si>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</si>
  <si>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</si>
  <si>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</si>
  <si>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</si>
  <si>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</si>
  <si>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</si>
  <si>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</si>
  <si>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</si>
  <si>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</si>
  <si>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</si>
  <si>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</si>
  <si>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</si>
  <si>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</si>
  <si>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</si>
  <si>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</si>
  <si>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</si>
  <si>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</si>
  <si>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</si>
  <si>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</si>
  <si>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</si>
  <si>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</si>
  <si>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</si>
  <si>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</si>
  <si>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</si>
  <si>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</si>
  <si>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</si>
  <si>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</si>
  <si>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</si>
  <si>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</si>
  <si>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</si>
  <si>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</si>
  <si>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</si>
  <si>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</si>
  <si>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</si>
  <si>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</si>
  <si>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</si>
  <si>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</si>
  <si>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</si>
  <si>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</si>
  <si>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</si>
  <si>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</si>
  <si>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</si>
  <si>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</si>
  <si>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</si>
  <si>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</si>
  <si>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</si>
  <si>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</si>
  <si>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</si>
  <si>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</si>
  <si>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</si>
  <si>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</si>
  <si>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</si>
  <si>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</si>
  <si>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</si>
  <si>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</si>
  <si>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</si>
  <si>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</si>
  <si>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</si>
  <si>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</si>
  <si>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</si>
  <si>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</si>
  <si>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</si>
  <si>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</si>
  <si>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</si>
  <si>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</si>
  <si>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</si>
  <si>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</si>
  <si>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</si>
  <si>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</si>
  <si>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</si>
  <si>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</si>
  <si>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</si>
  <si>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</si>
  <si>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</si>
  <si>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</si>
  <si>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</si>
  <si>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</si>
  <si>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</si>
  <si>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</si>
  <si>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</si>
  <si>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</si>
  <si>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</si>
  <si>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</si>
  <si>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</si>
  <si>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</si>
  <si>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</si>
  <si>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</si>
  <si>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</si>
  <si>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</si>
  <si>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</si>
  <si>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</si>
  <si>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</si>
  <si>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</si>
  <si>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</si>
  <si>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</si>
  <si>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</si>
  <si>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</si>
  <si>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</si>
  <si>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</si>
  <si>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</si>
  <si>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</si>
  <si>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</si>
  <si>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</si>
  <si>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</si>
  <si>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</si>
  <si>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</si>
  <si>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</si>
  <si>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</si>
  <si>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</si>
  <si>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</si>
  <si>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</si>
  <si>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</si>
  <si>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</si>
  <si>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</si>
  <si>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</si>
  <si>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</si>
  <si>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</si>
  <si>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</si>
  <si>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</si>
  <si>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</si>
  <si>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</si>
  <si>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</si>
  <si>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</si>
  <si>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</si>
  <si>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</si>
  <si>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</si>
  <si>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</si>
  <si>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</si>
  <si>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</si>
  <si>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</si>
  <si>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</si>
  <si>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</si>
  <si>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</si>
  <si>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</si>
  <si>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</si>
  <si>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</si>
  <si>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</si>
  <si>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</si>
  <si>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</si>
  <si>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</si>
  <si>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</si>
  <si>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</si>
  <si>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</si>
  <si>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</si>
  <si>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</si>
  <si>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</si>
  <si>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</si>
  <si>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</si>
  <si>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</si>
  <si>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</si>
  <si>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</si>
  <si>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</si>
  <si>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</si>
  <si>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</si>
  <si>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</si>
  <si>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</si>
  <si>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</si>
  <si>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</si>
  <si>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</si>
  <si>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</si>
  <si>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</si>
  <si>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</si>
  <si>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</si>
  <si>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</si>
  <si>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</si>
  <si>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</si>
  <si>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</si>
  <si>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</si>
  <si>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</si>
  <si>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</si>
  <si>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</si>
  <si>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</si>
  <si>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</si>
  <si>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</si>
  <si>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</si>
  <si>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</si>
  <si>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</si>
  <si>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</si>
  <si>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</si>
  <si>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</si>
  <si>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</si>
  <si>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</si>
  <si>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</si>
  <si>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</si>
  <si>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</si>
  <si>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</si>
  <si>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</si>
  <si>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</si>
  <si>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</si>
  <si>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</si>
  <si>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</si>
  <si>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</si>
  <si>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</si>
  <si>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</si>
  <si>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</si>
  <si>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</si>
  <si>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</si>
  <si>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</si>
  <si>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</si>
  <si>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</si>
  <si>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</si>
  <si>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</si>
  <si>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</si>
  <si>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</si>
  <si>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</si>
  <si>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</si>
  <si>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</si>
  <si>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</si>
  <si>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</si>
  <si>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</si>
  <si>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</si>
  <si>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</si>
  <si>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</si>
  <si>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</si>
  <si>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</si>
  <si>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</si>
  <si>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</si>
  <si>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</si>
  <si>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</si>
  <si>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</si>
  <si>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</si>
  <si>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</si>
  <si>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</si>
  <si>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</si>
  <si>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</si>
  <si>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</si>
  <si>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</si>
  <si>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</si>
  <si>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</si>
  <si>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</si>
  <si>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</si>
  <si>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</si>
  <si>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</si>
  <si>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</si>
  <si>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</si>
  <si>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</si>
  <si>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</si>
  <si>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</si>
  <si>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</si>
  <si>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</si>
  <si>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</si>
  <si>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</si>
  <si>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</si>
  <si>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</si>
  <si>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</si>
  <si>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</si>
  <si>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</si>
  <si>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</si>
  <si>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</si>
  <si>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</si>
  <si>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</si>
  <si>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</si>
  <si>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</si>
  <si>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</si>
  <si>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</si>
  <si>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</si>
  <si>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</si>
  <si>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</si>
  <si>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</si>
  <si>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</si>
  <si>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</si>
  <si>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</si>
  <si>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</si>
  <si>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</si>
  <si>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</si>
  <si>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</si>
  <si>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</si>
  <si>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</si>
  <si>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</si>
  <si>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</si>
  <si>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</si>
  <si>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</si>
  <si>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</si>
  <si>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</si>
  <si>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</si>
  <si>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</si>
  <si>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</si>
  <si>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</si>
  <si>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</si>
  <si>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</si>
  <si>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</si>
  <si>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</si>
  <si>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</si>
  <si>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</si>
  <si>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</si>
  <si>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</si>
  <si>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</si>
  <si>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</si>
  <si>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</si>
  <si>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</si>
  <si>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</si>
  <si>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</si>
  <si>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</si>
  <si>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</si>
  <si>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</si>
  <si>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</si>
  <si>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</si>
  <si>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</si>
  <si>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</si>
  <si>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</si>
  <si>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</si>
  <si>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</si>
  <si>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</si>
  <si>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</si>
  <si>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</si>
  <si>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</si>
  <si>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</si>
  <si>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</si>
  <si>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</si>
  <si>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</si>
  <si>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</si>
  <si>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</si>
  <si>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</si>
  <si>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</si>
  <si>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</si>
  <si>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</si>
  <si>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</si>
  <si>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</si>
  <si>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</si>
  <si>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</si>
  <si>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</si>
  <si>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</si>
  <si>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</si>
  <si>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</si>
  <si>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</si>
  <si>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</si>
  <si>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</si>
  <si>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</si>
  <si>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</si>
  <si>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</si>
  <si>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</si>
  <si>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</si>
  <si>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</si>
  <si>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</si>
  <si>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</si>
  <si>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</si>
  <si>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</si>
  <si>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</si>
  <si>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</si>
  <si>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</si>
  <si>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</si>
  <si>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</si>
  <si>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</si>
  <si>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</si>
  <si>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</si>
  <si>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</si>
  <si>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</si>
  <si>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</si>
  <si>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</si>
  <si>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</si>
  <si>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</si>
  <si>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</si>
  <si>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</si>
  <si>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</si>
  <si>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</si>
  <si>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</si>
  <si>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</si>
  <si>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</si>
  <si>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</si>
  <si>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</si>
  <si>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</si>
  <si>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</si>
  <si>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</si>
  <si>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</si>
  <si>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</si>
  <si>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</si>
  <si>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</si>
  <si>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</si>
  <si>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</si>
  <si>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</si>
  <si>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</si>
  <si>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</si>
  <si>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</si>
  <si>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</si>
  <si>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</si>
  <si>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</si>
  <si>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</si>
  <si>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</si>
  <si>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</si>
  <si>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</si>
  <si>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</si>
  <si>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</si>
  <si>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</si>
  <si>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</si>
  <si>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</si>
  <si>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</si>
  <si>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</si>
  <si>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</si>
  <si>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</si>
  <si>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</si>
  <si>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</si>
  <si>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</si>
  <si>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</si>
  <si>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</si>
  <si>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</si>
  <si>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</si>
  <si>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</si>
  <si>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</si>
  <si>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</si>
  <si>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</si>
  <si>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</si>
  <si>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</si>
  <si>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</si>
  <si>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</si>
  <si>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</si>
  <si>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</si>
  <si>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</si>
  <si>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</si>
  <si>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</si>
  <si>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</si>
  <si>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</si>
  <si>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</si>
  <si>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</si>
  <si>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</si>
  <si>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</si>
  <si>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</si>
  <si>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</si>
  <si>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</si>
  <si>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</si>
  <si>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</si>
  <si>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</si>
  <si>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</si>
  <si>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</si>
  <si>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</si>
  <si>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</si>
  <si>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</si>
  <si>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</si>
  <si>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</si>
  <si>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</si>
  <si>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</si>
  <si>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</si>
  <si>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</si>
  <si>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</si>
  <si>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</si>
  <si>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</si>
  <si>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</si>
  <si>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</si>
  <si>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</si>
  <si>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</si>
  <si>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</si>
  <si>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</si>
  <si>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</si>
  <si>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</si>
  <si>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</si>
  <si>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</si>
  <si>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</si>
  <si>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</si>
  <si>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</si>
  <si>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</si>
  <si>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</si>
  <si>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</si>
  <si>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</si>
  <si>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</si>
  <si>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</si>
  <si>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</si>
  <si>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</si>
  <si>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</si>
  <si>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</si>
  <si>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</si>
  <si>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</si>
  <si>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</si>
  <si>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</si>
  <si>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</si>
  <si>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</si>
  <si>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</si>
  <si>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</si>
  <si>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</si>
  <si>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</si>
  <si>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</si>
  <si>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</si>
  <si>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</si>
  <si>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</si>
  <si>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</si>
  <si>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</si>
  <si>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</si>
  <si>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</si>
  <si>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</si>
  <si>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</si>
  <si>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</si>
  <si>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</si>
  <si>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</si>
  <si>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</si>
  <si>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</si>
  <si>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</si>
  <si>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</si>
  <si>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</si>
  <si>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</si>
  <si>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</si>
  <si>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</si>
  <si>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</si>
  <si>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</si>
  <si>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</si>
  <si>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</si>
  <si>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</si>
  <si>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</si>
  <si>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</si>
  <si>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</si>
  <si>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</si>
  <si>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</si>
  <si>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</si>
  <si>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</si>
  <si>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</si>
  <si>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</si>
  <si>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</si>
  <si>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</si>
  <si>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</si>
  <si>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</si>
  <si>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</si>
  <si>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</si>
  <si>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</si>
  <si>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</si>
  <si>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</si>
  <si>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</si>
  <si>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</si>
  <si>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</si>
  <si>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</si>
  <si>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</si>
  <si>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</si>
  <si>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</si>
  <si>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</si>
  <si>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</si>
  <si>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</si>
  <si>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</si>
  <si>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</si>
  <si>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</si>
  <si>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</si>
  <si>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</si>
  <si>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</si>
  <si>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</si>
  <si>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</si>
  <si>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</si>
  <si>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</si>
  <si>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</si>
  <si>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</si>
  <si>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</si>
  <si>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</si>
  <si>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</si>
  <si>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</si>
  <si>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</si>
  <si>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</si>
  <si>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</si>
  <si>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</si>
  <si>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</si>
  <si>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</si>
  <si>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</si>
  <si>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</si>
  <si>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</si>
  <si>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</si>
  <si>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</si>
  <si>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</si>
  <si>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</si>
  <si>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</si>
  <si>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</si>
  <si>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</si>
  <si>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</si>
  <si>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</si>
  <si>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</si>
  <si>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</si>
  <si>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</si>
  <si>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</si>
  <si>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</si>
  <si>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</si>
  <si>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</si>
  <si>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</si>
  <si>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</si>
  <si>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</si>
  <si>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</si>
  <si>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</si>
  <si>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</si>
  <si>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</si>
  <si>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</si>
  <si>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</si>
  <si>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</si>
  <si>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</si>
  <si>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</si>
  <si>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</si>
  <si>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</si>
  <si>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</si>
  <si>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</si>
  <si>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</si>
  <si>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</si>
  <si>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</si>
  <si>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</si>
  <si>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</si>
  <si>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</si>
  <si>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</si>
  <si>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</si>
  <si>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</si>
  <si>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</si>
  <si>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</si>
  <si>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</si>
  <si>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</si>
  <si>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</si>
  <si>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</si>
  <si>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</si>
  <si>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</si>
  <si>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</si>
  <si>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</si>
  <si>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</si>
  <si>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</si>
  <si>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</si>
  <si>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</si>
  <si>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</si>
  <si>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</si>
  <si>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</si>
  <si>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</si>
  <si>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</si>
  <si>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</si>
  <si>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</si>
  <si>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</si>
  <si>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</si>
  <si>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</si>
  <si>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</si>
  <si>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</si>
  <si>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</si>
  <si>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</si>
  <si>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</si>
  <si>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</si>
  <si>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</si>
  <si>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</si>
  <si>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</si>
  <si>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</si>
  <si>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</si>
  <si>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</si>
  <si>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</si>
  <si>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</si>
  <si>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</si>
  <si>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</si>
  <si>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</si>
  <si>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</si>
  <si>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</si>
  <si>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</si>
  <si>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</si>
  <si>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</si>
  <si>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</si>
  <si>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</si>
  <si>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</si>
  <si>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</si>
  <si>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</si>
  <si>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</si>
  <si>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</si>
  <si>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</si>
  <si>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</si>
  <si>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</si>
  <si>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</si>
  <si>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</si>
  <si>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</si>
  <si>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</si>
  <si>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</si>
  <si>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</si>
  <si>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</si>
  <si>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</si>
  <si>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</si>
  <si>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</si>
  <si>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</si>
  <si>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</si>
  <si>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</si>
  <si>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</si>
  <si>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</si>
  <si>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</si>
  <si>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</si>
  <si>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</si>
  <si>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</si>
  <si>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</si>
  <si>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</si>
  <si>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</si>
  <si>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</si>
  <si>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</si>
  <si>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</si>
  <si>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</si>
  <si>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</si>
  <si>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</si>
  <si>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</si>
  <si>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</si>
  <si>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</si>
  <si>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</si>
  <si>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</si>
  <si>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</si>
  <si>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</si>
  <si>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</si>
  <si>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</si>
  <si>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</si>
  <si>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</si>
  <si>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</si>
  <si>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</si>
  <si>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</si>
  <si>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</si>
  <si>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</si>
  <si>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</si>
  <si>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</si>
  <si>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</si>
  <si>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</si>
  <si>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</si>
  <si>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</si>
  <si>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</si>
  <si>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</si>
  <si>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</si>
  <si>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</si>
  <si>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</si>
  <si>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</si>
  <si>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</si>
  <si>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</si>
  <si>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</si>
  <si>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</si>
  <si>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</si>
  <si>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</si>
  <si>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</si>
  <si>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</si>
  <si>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</si>
  <si>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</si>
  <si>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</si>
  <si>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</si>
  <si>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</si>
  <si>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</si>
  <si>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</si>
  <si>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</si>
  <si>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</si>
  <si>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</si>
  <si>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</si>
  <si>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</si>
  <si>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</si>
  <si>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</si>
  <si>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</si>
  <si>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</si>
  <si>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</si>
  <si>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</si>
  <si>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</si>
  <si>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</si>
  <si>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</si>
  <si>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</si>
  <si>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</si>
  <si>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</si>
  <si>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</si>
  <si>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</si>
  <si>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</si>
  <si>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</si>
  <si>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</si>
  <si>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</si>
  <si>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</si>
  <si>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</si>
  <si>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</si>
  <si>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</si>
  <si>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</si>
  <si>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</si>
  <si>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</si>
  <si>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</si>
  <si>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</si>
  <si>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</si>
  <si>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</si>
  <si>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</si>
  <si>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</si>
  <si>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</si>
  <si>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</si>
  <si>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</si>
  <si>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</si>
  <si>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</si>
  <si>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</si>
  <si>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</si>
  <si>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</si>
  <si>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</si>
  <si>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</si>
  <si>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</si>
  <si>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</si>
  <si>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</si>
  <si>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</si>
  <si>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</si>
  <si>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</si>
  <si>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</si>
  <si>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</si>
  <si>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</si>
  <si>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</si>
  <si>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</si>
  <si>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</si>
  <si>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</si>
  <si>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</si>
  <si>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</si>
  <si>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</si>
  <si>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</si>
  <si>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</si>
  <si>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</si>
  <si>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</si>
  <si>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</si>
  <si>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</si>
  <si>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</si>
  <si>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</si>
  <si>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</si>
  <si>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</si>
  <si>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</si>
  <si>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</si>
  <si>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</si>
  <si>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</si>
  <si>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</si>
  <si>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</si>
  <si>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</si>
  <si>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</si>
  <si>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</si>
  <si>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</si>
  <si>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</si>
  <si>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</si>
  <si>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</si>
  <si>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</si>
  <si>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</si>
  <si>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</si>
  <si>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</si>
  <si>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</si>
  <si>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</si>
  <si>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</si>
  <si>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</si>
  <si>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</si>
  <si>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</si>
  <si>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</si>
  <si>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</si>
  <si>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</si>
  <si>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</si>
  <si>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</si>
  <si>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</si>
  <si>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</si>
  <si>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</si>
  <si>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</si>
  <si>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</si>
  <si>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</si>
  <si>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</si>
  <si>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</si>
  <si>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</si>
  <si>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</si>
  <si>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</si>
  <si>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</si>
  <si>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</si>
  <si>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</si>
  <si>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</si>
  <si>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</si>
  <si>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</si>
  <si>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</si>
  <si>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</si>
  <si>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</si>
  <si>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</si>
  <si>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</si>
  <si>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</si>
  <si>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</si>
  <si>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</si>
  <si>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</si>
  <si>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</si>
  <si>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</si>
  <si>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</si>
  <si>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</si>
  <si>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</si>
  <si>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</si>
  <si>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</si>
  <si>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</si>
  <si>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</si>
  <si>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</si>
  <si>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</si>
  <si>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</si>
  <si>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</si>
  <si>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</si>
  <si>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</si>
  <si>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</si>
  <si>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</si>
  <si>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</si>
  <si>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</si>
  <si>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</si>
  <si>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</si>
  <si>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</si>
  <si>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</si>
  <si>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</si>
  <si>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</si>
  <si>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</si>
  <si>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</si>
  <si>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</si>
  <si>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</si>
  <si>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</si>
  <si>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</si>
  <si>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</si>
  <si>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</si>
  <si>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</si>
  <si>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</si>
  <si>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</si>
  <si>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</si>
  <si>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</si>
  <si>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</si>
  <si>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</si>
  <si>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</si>
  <si>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</si>
  <si>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</si>
  <si>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</si>
  <si>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</si>
  <si>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</si>
  <si>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</si>
  <si>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</si>
  <si>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</si>
  <si>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</si>
  <si>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</si>
  <si>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</si>
  <si>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</si>
  <si>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</si>
  <si>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</si>
  <si>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</si>
  <si>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</si>
  <si>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</si>
  <si>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</si>
  <si>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</si>
  <si>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</si>
  <si>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</si>
  <si>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</si>
  <si>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</si>
  <si>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</si>
  <si>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</si>
  <si>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</si>
  <si>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</si>
  <si>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</si>
  <si>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</si>
  <si>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</si>
  <si>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</si>
  <si>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</si>
  <si>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</si>
  <si>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</si>
  <si>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</si>
  <si>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</si>
  <si>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</si>
  <si>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</si>
  <si>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</si>
  <si>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</si>
  <si>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</si>
  <si>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</si>
  <si>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</si>
  <si>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</si>
  <si>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</si>
  <si>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</si>
  <si>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</si>
  <si>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</si>
  <si>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</si>
  <si>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</si>
  <si>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</si>
  <si>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</si>
  <si>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</si>
  <si>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</si>
  <si>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</si>
  <si>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</si>
  <si>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</si>
  <si>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</si>
  <si>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</si>
  <si>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</si>
  <si>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</si>
  <si>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</si>
  <si>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</si>
  <si>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</si>
  <si>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</si>
  <si>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</si>
  <si>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</si>
  <si>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</si>
  <si>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</si>
  <si>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</si>
  <si>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</si>
  <si>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</si>
  <si>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</si>
  <si>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</si>
  <si>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</si>
  <si>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</si>
  <si>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</si>
  <si>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</si>
  <si>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</si>
  <si>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</si>
  <si>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</si>
  <si>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</si>
  <si>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</si>
  <si>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</si>
  <si>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</si>
  <si>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</si>
  <si>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</si>
  <si>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</si>
  <si>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</si>
  <si>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</si>
  <si>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</si>
  <si>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</si>
  <si>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</si>
  <si>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</si>
  <si>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</si>
  <si>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</si>
  <si>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</si>
  <si>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</si>
  <si>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</si>
  <si>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</si>
  <si>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</si>
  <si>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</si>
  <si>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</si>
  <si>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</si>
  <si>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</si>
  <si>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</si>
  <si>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</si>
  <si>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</si>
  <si>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</si>
  <si>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</si>
  <si>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</si>
  <si>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</si>
  <si>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</si>
  <si>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</si>
  <si>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</si>
  <si>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</si>
  <si>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</si>
  <si>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</si>
  <si>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</si>
  <si>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</si>
  <si>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</si>
  <si>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</si>
  <si>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</si>
  <si>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</si>
  <si>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</si>
  <si>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</si>
  <si>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</si>
  <si>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</si>
  <si>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</si>
  <si>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</si>
  <si>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</si>
  <si>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</si>
  <si>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</si>
  <si>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</si>
  <si>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</si>
  <si>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</si>
  <si>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</si>
  <si>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</si>
  <si>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</si>
  <si>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</si>
  <si>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</si>
  <si>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</si>
  <si>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</si>
  <si>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</si>
  <si>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</si>
  <si>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</si>
  <si>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</si>
  <si>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</si>
  <si>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</si>
  <si>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</si>
  <si>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</si>
  <si>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</si>
  <si>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</si>
  <si>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</si>
  <si>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</si>
  <si>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</si>
  <si>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</si>
  <si>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</si>
  <si>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</si>
  <si>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</si>
  <si>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</si>
  <si>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</si>
  <si>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</si>
  <si>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</si>
  <si>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</si>
  <si>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</si>
  <si>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</si>
  <si>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</si>
  <si>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</si>
  <si>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</si>
  <si>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</si>
  <si>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</si>
  <si>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</si>
  <si>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</si>
  <si>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</si>
  <si>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</si>
  <si>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</si>
  <si>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</si>
  <si>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</si>
  <si>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</si>
  <si>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</si>
  <si>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</si>
  <si>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</si>
  <si>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</si>
  <si>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</si>
  <si>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</si>
  <si>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</si>
  <si>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</si>
  <si>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</si>
  <si>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</si>
  <si>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</si>
  <si>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</si>
  <si>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</si>
  <si>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</si>
  <si>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</si>
  <si>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</si>
  <si>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</si>
  <si>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</si>
  <si>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</si>
  <si>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</si>
  <si>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</si>
  <si>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</si>
  <si>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</si>
  <si>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</si>
  <si>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</si>
  <si>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</si>
  <si>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</si>
  <si>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</si>
  <si>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</si>
  <si>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</si>
  <si>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</si>
  <si>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</si>
  <si>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</si>
  <si>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</si>
  <si>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</si>
  <si>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</si>
  <si>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</si>
  <si>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</si>
  <si>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</si>
  <si>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</si>
  <si>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</si>
  <si>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</si>
  <si>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</si>
  <si>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</si>
  <si>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</si>
  <si>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</si>
  <si>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</si>
  <si>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</si>
  <si>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</si>
  <si>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</si>
  <si>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</si>
  <si>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</si>
  <si>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</si>
  <si>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</si>
  <si>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</si>
  <si>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</si>
  <si>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</si>
  <si>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</si>
  <si>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</si>
  <si>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</si>
  <si>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</si>
  <si>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</si>
  <si>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</si>
  <si>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</si>
  <si>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</si>
  <si>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</si>
  <si>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</si>
  <si>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</si>
  <si>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</si>
  <si>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</si>
  <si>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</si>
  <si>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</si>
  <si>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</si>
  <si>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</si>
  <si>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</si>
  <si>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</si>
  <si>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</si>
  <si>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</si>
  <si>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</si>
  <si>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</si>
  <si>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</si>
  <si>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</si>
  <si>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</si>
  <si>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</si>
  <si>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</si>
  <si>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</si>
  <si>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</si>
  <si>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</si>
  <si>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</si>
  <si>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</si>
  <si>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</si>
  <si>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</si>
  <si>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</si>
  <si>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</si>
  <si>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</si>
  <si>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</si>
  <si>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</si>
  <si>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</si>
  <si>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</si>
  <si>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</si>
  <si>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</si>
  <si>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</si>
  <si>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</si>
  <si>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</si>
  <si>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</si>
  <si>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</si>
  <si>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</si>
  <si>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</si>
  <si>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</si>
  <si>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</si>
  <si>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</si>
  <si>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</si>
  <si>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</si>
  <si>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</si>
  <si>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</si>
  <si>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</si>
  <si>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</si>
  <si>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</si>
  <si>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</si>
  <si>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</si>
  <si>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</si>
  <si>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</si>
  <si>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</si>
  <si>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</si>
  <si>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</si>
  <si>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</si>
  <si>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</si>
  <si>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</si>
  <si>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</si>
  <si>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</si>
  <si>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</si>
  <si>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</si>
  <si>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</si>
  <si>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</si>
  <si>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</si>
  <si>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</si>
  <si>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</si>
  <si>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</si>
  <si>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</si>
  <si>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</si>
  <si>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</si>
  <si>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</si>
  <si>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</si>
  <si>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</si>
  <si>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</si>
  <si>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</si>
  <si>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</si>
  <si>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</si>
  <si>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</si>
  <si>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</si>
  <si>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</si>
  <si>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</si>
  <si>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</si>
  <si>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</si>
  <si>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</si>
  <si>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</si>
  <si>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</si>
  <si>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</si>
  <si>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</si>
  <si>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</si>
  <si>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</si>
  <si>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</si>
  <si>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</si>
  <si>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</si>
  <si>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</si>
  <si>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</si>
  <si>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</si>
  <si>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</si>
  <si>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</si>
  <si>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</si>
  <si>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</si>
  <si>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</si>
  <si>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</si>
  <si>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</si>
  <si>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</si>
  <si>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</si>
  <si>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</si>
  <si>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</si>
  <si>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</si>
  <si>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</si>
  <si>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</si>
  <si>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</si>
  <si>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</si>
  <si>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</si>
  <si>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</si>
  <si>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</si>
  <si>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</si>
  <si>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</si>
  <si>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</si>
  <si>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</si>
  <si>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</si>
  <si>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</si>
  <si>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</si>
  <si>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</si>
  <si>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</si>
  <si>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</si>
  <si>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</si>
  <si>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</si>
  <si>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</si>
  <si>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</si>
  <si>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</si>
  <si>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</si>
  <si>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</si>
  <si>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</si>
  <si>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</si>
  <si>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</si>
  <si>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</si>
  <si>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</si>
  <si>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</si>
  <si>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</si>
  <si>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</si>
  <si>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</si>
  <si>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</si>
  <si>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</si>
  <si>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</si>
  <si>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</si>
  <si>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</si>
  <si>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</si>
  <si>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</si>
  <si>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</si>
  <si>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</si>
  <si>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</si>
  <si>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</si>
  <si>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</si>
  <si>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</si>
  <si>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</si>
  <si>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</si>
  <si>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</si>
  <si>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</si>
  <si>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</si>
  <si>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</si>
  <si>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</si>
  <si>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</si>
  <si>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</si>
  <si>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</si>
  <si>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</si>
  <si>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</si>
  <si>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</si>
  <si>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</si>
  <si>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</si>
  <si>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</si>
  <si>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</si>
  <si>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</si>
  <si>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</si>
  <si>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</si>
  <si>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</si>
  <si>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</si>
  <si>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</si>
  <si>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</si>
  <si>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</si>
  <si>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</si>
  <si>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</si>
  <si>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</si>
  <si>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</si>
  <si>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</si>
  <si>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</si>
  <si>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</si>
  <si>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</si>
  <si>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</si>
  <si>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</si>
  <si>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</si>
  <si>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</si>
  <si>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</si>
  <si>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</si>
  <si>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</si>
  <si>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</si>
  <si>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</si>
  <si>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</si>
  <si>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</si>
  <si>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</si>
  <si>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</si>
  <si>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</si>
  <si>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</si>
  <si>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</si>
  <si>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</si>
  <si>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</si>
  <si>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</si>
  <si>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</si>
  <si>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</si>
  <si>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</si>
  <si>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</si>
  <si>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</si>
  <si>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</si>
  <si>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</si>
  <si>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</si>
  <si>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</si>
  <si>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</si>
  <si>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</si>
  <si>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</si>
  <si>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</si>
  <si>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</si>
  <si>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</si>
  <si>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</si>
  <si>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</si>
  <si>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</si>
  <si>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</si>
  <si>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</si>
  <si>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</si>
  <si>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</si>
  <si>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</si>
  <si>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</si>
  <si>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</si>
  <si>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</si>
  <si>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</si>
  <si>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</si>
  <si>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</si>
  <si>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</si>
  <si>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</si>
  <si>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</si>
  <si>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</si>
  <si>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</si>
  <si>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</si>
  <si>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</si>
  <si>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</si>
  <si>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</si>
  <si>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</si>
  <si>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</si>
  <si>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</si>
  <si>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</si>
  <si>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</si>
  <si>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</si>
  <si>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</si>
  <si>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</si>
  <si>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</si>
  <si>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</si>
  <si>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</si>
  <si>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</si>
  <si>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</si>
  <si>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</si>
  <si>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</si>
  <si>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</si>
  <si>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</si>
  <si>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</si>
  <si>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</si>
  <si>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</si>
  <si>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</si>
  <si>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</si>
  <si>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</si>
  <si>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</si>
  <si>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</si>
  <si>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</si>
  <si>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</si>
  <si>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</si>
  <si>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</si>
  <si>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</si>
  <si>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</si>
  <si>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</si>
  <si>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</si>
  <si>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</si>
  <si>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</si>
  <si>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</si>
  <si>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</si>
  <si>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</si>
  <si>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</si>
  <si>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</si>
  <si>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</si>
  <si>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</si>
  <si>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</si>
  <si>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</si>
  <si>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</si>
  <si>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</si>
  <si>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</si>
  <si>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</si>
  <si>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</si>
  <si>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</si>
  <si>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</si>
  <si>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</si>
  <si>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</si>
  <si>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</si>
  <si>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</si>
  <si>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</si>
  <si>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</si>
  <si>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</si>
  <si>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</si>
  <si>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</si>
  <si>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</si>
  <si>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</si>
  <si>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</si>
  <si>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</si>
  <si>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</si>
  <si>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</si>
  <si>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</si>
  <si>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</si>
  <si>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</si>
  <si>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</si>
  <si>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</si>
  <si>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</si>
  <si>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</si>
  <si>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</si>
  <si>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</si>
  <si>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</si>
  <si>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</si>
  <si>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</si>
  <si>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</si>
  <si>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</si>
  <si>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</si>
  <si>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</si>
  <si>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</si>
  <si>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</si>
  <si>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</si>
  <si>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</si>
  <si>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</si>
  <si>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</si>
  <si>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</si>
  <si>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</si>
  <si>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</si>
  <si>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</si>
  <si>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</si>
  <si>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</si>
  <si>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</si>
  <si>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</si>
  <si>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</si>
  <si>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</si>
  <si>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</si>
  <si>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</si>
  <si>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</si>
  <si>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</si>
  <si>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</si>
  <si>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</si>
  <si>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</si>
  <si>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</si>
  <si>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</si>
  <si>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</si>
  <si>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</si>
  <si>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</si>
  <si>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</si>
  <si>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</si>
  <si>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</si>
  <si>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</si>
  <si>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</si>
  <si>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</si>
  <si>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</si>
  <si>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</si>
  <si>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</si>
  <si>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</si>
  <si>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</si>
  <si>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</si>
  <si>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</si>
  <si>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</si>
  <si>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</si>
  <si>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</si>
  <si>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</si>
  <si>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</si>
  <si>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</si>
  <si>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</si>
  <si>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</si>
  <si>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</si>
  <si>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</si>
  <si>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</si>
  <si>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</si>
  <si>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</si>
  <si>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</si>
  <si>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</si>
  <si>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</si>
  <si>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</si>
  <si>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</si>
  <si>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</si>
  <si>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</si>
  <si>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</si>
  <si>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</si>
  <si>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</si>
  <si>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</si>
  <si>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</si>
  <si>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</si>
  <si>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</si>
  <si>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</si>
  <si>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</si>
  <si>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</si>
  <si>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</si>
  <si>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</si>
  <si>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</si>
  <si>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</si>
  <si>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</si>
  <si>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</si>
  <si>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</si>
  <si>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</si>
  <si>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</si>
  <si>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</si>
  <si>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</si>
  <si>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</si>
  <si>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</si>
  <si>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</si>
  <si>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</si>
  <si>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</si>
  <si>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</si>
  <si>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</si>
  <si>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</si>
  <si>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</si>
  <si>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</si>
  <si>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</si>
  <si>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</si>
  <si>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</si>
  <si>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</si>
  <si>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</si>
  <si>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</si>
  <si>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</si>
  <si>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</si>
  <si>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</si>
  <si>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</si>
  <si>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</si>
  <si>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</si>
  <si>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</si>
  <si>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</si>
  <si>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</si>
  <si>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</si>
  <si>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</si>
  <si>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</si>
  <si>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</si>
  <si>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</si>
  <si>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</si>
  <si>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</si>
  <si>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</si>
  <si>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</si>
  <si>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</si>
  <si>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</si>
  <si>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</si>
  <si>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</si>
  <si>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</si>
  <si>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</si>
  <si>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</si>
  <si>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</si>
  <si>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</si>
  <si>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</si>
  <si>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</si>
  <si>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</si>
  <si>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</si>
  <si>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</si>
  <si>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</si>
  <si>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</si>
  <si>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</si>
  <si>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</si>
  <si>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</si>
  <si>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</si>
  <si>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</si>
  <si>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</si>
  <si>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</si>
  <si>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</si>
  <si>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</si>
  <si>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</si>
  <si>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</si>
  <si>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</si>
  <si>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</si>
  <si>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</si>
  <si>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</si>
  <si>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</si>
  <si>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</si>
  <si>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</si>
  <si>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</si>
  <si>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</si>
  <si>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</si>
  <si>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</si>
  <si>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</si>
  <si>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</si>
  <si>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</si>
  <si>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</si>
  <si>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</si>
  <si>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</si>
  <si>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</si>
  <si>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</si>
  <si>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</si>
  <si>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</si>
  <si>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</si>
  <si>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</si>
  <si>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</si>
  <si>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</si>
  <si>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</si>
  <si>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</si>
  <si>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</si>
  <si>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</si>
  <si>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</si>
  <si>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</si>
  <si>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</si>
  <si>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</si>
  <si>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</si>
  <si>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</si>
  <si>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</si>
  <si>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</si>
  <si>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</si>
  <si>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</si>
  <si>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</si>
  <si>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</si>
  <si>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</si>
  <si>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</si>
  <si>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</si>
  <si>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</si>
  <si>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</si>
  <si>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</si>
  <si>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</si>
  <si>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</si>
  <si>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</si>
  <si>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</si>
  <si>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</si>
  <si>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</si>
  <si>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</si>
  <si>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</si>
  <si>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</si>
  <si>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</si>
  <si>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</si>
  <si>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</si>
  <si>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</si>
  <si>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</si>
  <si>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</si>
  <si>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</si>
  <si>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</si>
  <si>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</si>
  <si>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</si>
  <si>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</si>
  <si>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</si>
  <si>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</si>
  <si>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</si>
  <si>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</si>
  <si>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</si>
  <si>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</si>
  <si>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</si>
  <si>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</si>
  <si>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</si>
  <si>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</si>
  <si>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</si>
  <si>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</si>
  <si>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</si>
  <si>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</si>
  <si>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</si>
  <si>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</si>
  <si>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</si>
  <si>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</si>
  <si>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</si>
  <si>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</si>
  <si>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</si>
  <si>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</si>
  <si>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</si>
  <si>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</si>
  <si>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</si>
  <si>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</si>
  <si>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</si>
  <si>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</si>
  <si>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</si>
  <si>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</si>
  <si>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</si>
  <si>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</si>
  <si>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</si>
  <si>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</si>
  <si>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</si>
  <si>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</si>
  <si>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</si>
  <si>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</si>
  <si>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</si>
  <si>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</si>
  <si>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</si>
  <si>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</si>
  <si>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</si>
  <si>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</si>
  <si>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</si>
  <si>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</si>
  <si>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</si>
  <si>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</si>
  <si>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</si>
  <si>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</si>
  <si>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</si>
  <si>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</si>
  <si>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</si>
  <si>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</si>
  <si>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</si>
  <si>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</si>
  <si>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</si>
  <si>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</si>
  <si>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</si>
  <si>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</si>
  <si>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</si>
  <si>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</si>
  <si>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</si>
  <si>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</si>
  <si>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</si>
  <si>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</si>
  <si>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</si>
  <si>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</si>
  <si>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</si>
  <si>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</si>
  <si>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</si>
  <si>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</si>
  <si>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</si>
  <si>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</si>
  <si>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</si>
  <si>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</si>
  <si>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</si>
  <si>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</si>
  <si>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</si>
  <si>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</si>
  <si>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</si>
  <si>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</si>
  <si>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</si>
  <si>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</si>
  <si>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</si>
  <si>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</si>
  <si>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</si>
  <si>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</si>
  <si>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</si>
  <si>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</si>
  <si>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</si>
  <si>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</si>
  <si>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</si>
  <si>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</si>
  <si>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</si>
  <si>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</si>
  <si>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</si>
  <si>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</si>
  <si>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</si>
  <si>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</si>
  <si>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</si>
  <si>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</si>
  <si>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</si>
  <si>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</si>
  <si>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</si>
  <si>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</si>
  <si>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</si>
  <si>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</si>
  <si>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</si>
  <si>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</si>
  <si>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</si>
  <si>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</si>
  <si>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</si>
  <si>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</si>
  <si>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</si>
  <si>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</si>
  <si>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</si>
  <si>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</si>
  <si>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</si>
  <si>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</si>
  <si>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</si>
  <si>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</si>
  <si>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</si>
  <si>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</si>
  <si>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</si>
  <si>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</si>
  <si>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</si>
  <si>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</si>
  <si>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</si>
  <si>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</si>
  <si>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</si>
  <si>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</si>
  <si>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</si>
  <si>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</si>
  <si>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</si>
  <si>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</si>
  <si>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</si>
  <si>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</si>
  <si>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</si>
  <si>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</si>
  <si>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</si>
  <si>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</si>
  <si>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</si>
  <si>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</si>
  <si>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</si>
  <si>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</si>
  <si>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</si>
  <si>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</si>
  <si>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</si>
  <si>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</si>
  <si>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</si>
  <si>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</si>
  <si>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</si>
  <si>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</si>
  <si>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</si>
  <si>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</si>
  <si>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</si>
  <si>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</si>
  <si>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</si>
  <si>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</si>
  <si>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</si>
  <si>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</si>
  <si>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</si>
  <si>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</si>
  <si>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</si>
  <si>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</si>
  <si>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</si>
  <si>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</si>
  <si>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</si>
  <si>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</si>
  <si>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</si>
  <si>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</si>
  <si>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</si>
  <si>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</si>
  <si>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</si>
  <si>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</si>
  <si>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</si>
  <si>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</si>
  <si>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</si>
  <si>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</si>
  <si>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</si>
  <si>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</si>
  <si>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</si>
  <si>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</si>
  <si>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</si>
  <si>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</si>
  <si>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</si>
  <si>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</si>
  <si>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</si>
  <si>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</si>
  <si>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</si>
  <si>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</si>
  <si>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</si>
  <si>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</si>
  <si>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</si>
  <si>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</si>
  <si>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</si>
  <si>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</si>
  <si>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</si>
  <si>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</si>
  <si>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</si>
  <si>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</si>
  <si>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</si>
  <si>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</si>
  <si>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</si>
  <si>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</si>
  <si>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</si>
  <si>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</si>
  <si>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</si>
  <si>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</si>
  <si>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</si>
  <si>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</si>
  <si>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</si>
  <si>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</si>
  <si>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</si>
  <si>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</si>
  <si>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</si>
  <si>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</si>
  <si>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</si>
  <si>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</si>
  <si>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</si>
  <si>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</si>
  <si>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</si>
  <si>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</si>
  <si>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</si>
  <si>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</si>
  <si>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</si>
  <si>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</si>
  <si>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</si>
  <si>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</si>
  <si>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</si>
  <si>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</si>
  <si>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</si>
  <si>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</si>
  <si>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</si>
  <si>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</si>
  <si>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</si>
  <si>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</si>
  <si>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</si>
  <si>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</si>
  <si>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</si>
  <si>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</si>
  <si>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</si>
  <si>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</si>
  <si>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</si>
  <si>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</si>
  <si>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</si>
  <si>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</si>
  <si>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</si>
  <si>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</si>
  <si>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</si>
  <si>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</si>
  <si>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</si>
  <si>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</si>
  <si>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</si>
  <si>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</si>
  <si>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</si>
  <si>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</si>
  <si>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</si>
  <si>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</si>
  <si>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</si>
  <si>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</si>
  <si>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</si>
  <si>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</si>
  <si>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</si>
  <si>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</si>
  <si>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</si>
  <si>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</si>
  <si>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</si>
  <si>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</si>
  <si>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</si>
  <si>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</si>
  <si>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</si>
  <si>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</si>
  <si>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</si>
  <si>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</si>
  <si>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</si>
  <si>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</si>
  <si>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</si>
  <si>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</si>
  <si>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</si>
  <si>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</si>
  <si>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</si>
  <si>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</si>
  <si>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</si>
  <si>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</si>
  <si>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</si>
  <si>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</si>
  <si>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</si>
  <si>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</si>
  <si>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</si>
  <si>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</si>
  <si>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</si>
  <si>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</si>
  <si>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</si>
  <si>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</si>
  <si>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</si>
  <si>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</si>
  <si>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</si>
  <si>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</si>
  <si>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</si>
  <si>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</si>
  <si>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</si>
  <si>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</si>
  <si>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</si>
  <si>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</si>
  <si>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</si>
  <si>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</si>
  <si>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</si>
  <si>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</si>
  <si>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</si>
  <si>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</si>
  <si>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</si>
  <si>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</si>
  <si>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</si>
  <si>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</si>
  <si>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</si>
  <si>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</si>
  <si>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</si>
  <si>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</si>
  <si>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</si>
  <si>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</si>
  <si>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</si>
  <si>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</si>
  <si>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</si>
  <si>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</si>
  <si>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</si>
  <si>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</si>
  <si>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</si>
  <si>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</si>
  <si>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</si>
  <si>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</si>
  <si>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</si>
  <si>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</si>
  <si>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</si>
  <si>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</si>
  <si>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</si>
  <si>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</si>
  <si>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</si>
  <si>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</si>
  <si>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</si>
  <si>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</si>
  <si>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</si>
  <si>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</si>
  <si>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</si>
  <si>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</si>
  <si>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</si>
  <si>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</si>
  <si>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</si>
  <si>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</si>
  <si>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</si>
  <si>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</si>
  <si>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</si>
  <si>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</si>
  <si>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</si>
  <si>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</si>
  <si>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</si>
  <si>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</si>
  <si>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</si>
  <si>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</si>
  <si>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</si>
  <si>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</si>
  <si>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</si>
  <si>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</si>
  <si>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</si>
  <si>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</si>
  <si>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</si>
  <si>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</si>
  <si>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</si>
  <si>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</si>
  <si>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</si>
  <si>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</si>
  <si>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</si>
  <si>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</si>
  <si>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</si>
  <si>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</si>
  <si>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</si>
  <si>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</si>
  <si>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</si>
  <si>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</si>
  <si>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</si>
  <si>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</si>
  <si>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</si>
  <si>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</si>
  <si>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</si>
  <si>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</si>
  <si>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</si>
  <si>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</si>
  <si>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</si>
  <si>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</si>
  <si>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</si>
  <si>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</si>
  <si>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</si>
  <si>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</si>
  <si>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</si>
  <si>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</si>
  <si>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</si>
  <si>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</si>
  <si>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</si>
  <si>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</si>
  <si>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</si>
  <si>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</si>
  <si>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</si>
  <si>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</si>
  <si>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</si>
  <si>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</si>
  <si>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</si>
  <si>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</si>
  <si>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</si>
  <si>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</si>
  <si>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</si>
  <si>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</si>
  <si>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</si>
  <si>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</si>
  <si>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</si>
  <si>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</si>
  <si>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</si>
  <si>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</si>
  <si>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</si>
  <si>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</si>
  <si>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</si>
  <si>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</si>
  <si>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</si>
  <si>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</si>
  <si>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</si>
  <si>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</si>
  <si>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</si>
  <si>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</si>
  <si>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</si>
  <si>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</si>
  <si>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</si>
  <si>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</si>
  <si>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</si>
  <si>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</si>
  <si>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</si>
  <si>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</si>
  <si>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</si>
  <si>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</si>
  <si>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</si>
  <si>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</si>
  <si>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</si>
  <si>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</si>
  <si>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</si>
  <si>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</si>
  <si>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</si>
  <si>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</si>
  <si>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</si>
  <si>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</si>
  <si>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</si>
  <si>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</si>
  <si>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</si>
  <si>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</si>
  <si>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</si>
  <si>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</si>
  <si>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</si>
  <si>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</si>
  <si>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</si>
  <si>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</si>
  <si>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</si>
  <si>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</si>
  <si>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</si>
  <si>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</si>
  <si>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</si>
  <si>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</si>
  <si>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</si>
  <si>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</si>
  <si>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</si>
  <si>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</si>
  <si>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</si>
  <si>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</si>
  <si>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</si>
  <si>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</si>
  <si>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</si>
  <si>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</si>
  <si>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</si>
  <si>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</si>
  <si>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</si>
  <si>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</si>
  <si>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</si>
  <si>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</si>
  <si>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</si>
  <si>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</si>
  <si>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</si>
  <si>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</si>
  <si>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</si>
  <si>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</si>
  <si>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</si>
  <si>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</si>
  <si>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</si>
  <si>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</si>
  <si>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</si>
  <si>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</si>
  <si>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</si>
  <si>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</si>
  <si>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</si>
  <si>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</si>
  <si>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</si>
  <si>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</si>
  <si>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</si>
  <si>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</si>
  <si>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</si>
  <si>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</si>
  <si>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</si>
  <si>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</si>
  <si>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</si>
  <si>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</si>
  <si>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</si>
  <si>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</si>
  <si>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</si>
  <si>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</si>
  <si>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</si>
  <si>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</si>
  <si>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</si>
  <si>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</si>
  <si>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</si>
  <si>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</si>
  <si>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</si>
  <si>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</si>
  <si>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</si>
  <si>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</si>
  <si>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</si>
  <si>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</si>
  <si>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</si>
  <si>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</si>
  <si>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</si>
  <si>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</si>
  <si>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</si>
  <si>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</si>
  <si>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</si>
  <si>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</si>
  <si>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</si>
  <si>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</si>
  <si>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</si>
  <si>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</si>
  <si>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</si>
  <si>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</si>
  <si>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</si>
  <si>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</si>
  <si>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</si>
  <si>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</si>
  <si>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</si>
  <si>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</si>
  <si>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</si>
  <si>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</si>
  <si>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</si>
  <si>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</si>
  <si>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</si>
  <si>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</si>
  <si>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</si>
  <si>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</si>
  <si>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</si>
  <si>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</si>
  <si>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</si>
  <si>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</si>
  <si>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</si>
  <si>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</si>
  <si>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</si>
  <si>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</si>
  <si>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</si>
  <si>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</si>
  <si>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</si>
  <si>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</si>
  <si>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</si>
  <si>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</si>
  <si>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</si>
  <si>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</si>
  <si>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</si>
  <si>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</si>
  <si>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</si>
  <si>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</si>
  <si>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</si>
  <si>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</si>
  <si>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</si>
  <si>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</si>
  <si>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</si>
  <si>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</si>
  <si>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</si>
  <si>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</si>
  <si>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</si>
  <si>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</si>
  <si>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</si>
  <si>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</si>
  <si>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</si>
  <si>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</si>
  <si>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</si>
  <si>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</si>
  <si>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</si>
  <si>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</si>
  <si>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</si>
  <si>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</si>
  <si>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</si>
  <si>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</si>
  <si>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</si>
  <si>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</si>
  <si>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</si>
  <si>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</si>
  <si>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</si>
  <si>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</si>
  <si>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</si>
  <si>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</si>
  <si>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</si>
  <si>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</si>
  <si>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</si>
  <si>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</si>
  <si>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</si>
  <si>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</si>
  <si>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</si>
  <si>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</si>
  <si>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</si>
  <si>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</si>
  <si>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</si>
  <si>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</si>
  <si>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</si>
  <si>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</si>
  <si>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</si>
  <si>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</si>
  <si>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</si>
  <si>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</si>
  <si>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</si>
  <si>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</si>
  <si>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</si>
  <si>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</si>
  <si>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</si>
  <si>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</si>
  <si>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</si>
  <si>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</si>
  <si>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</si>
  <si>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</si>
  <si>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</si>
  <si>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</si>
  <si>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</si>
  <si>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</si>
  <si>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</si>
  <si>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</si>
  <si>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</si>
  <si>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</si>
  <si>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</si>
  <si>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</si>
  <si>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</si>
  <si>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</si>
  <si>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</si>
  <si>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</si>
  <si>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</si>
  <si>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</si>
  <si>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</si>
  <si>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</si>
  <si>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</si>
  <si>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</si>
  <si>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</si>
  <si>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</si>
  <si>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</si>
  <si>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</si>
  <si>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</si>
  <si>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</si>
  <si>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</si>
  <si>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</si>
  <si>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</si>
  <si>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</si>
  <si>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</si>
  <si>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</si>
  <si>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</si>
  <si>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</si>
  <si>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</si>
  <si>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</si>
  <si>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</si>
  <si>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</si>
  <si>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</si>
  <si>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</si>
  <si>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</si>
  <si>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</si>
  <si>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</si>
  <si>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</si>
  <si>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</si>
  <si>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</si>
  <si>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</si>
  <si>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</si>
  <si>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</si>
  <si>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</si>
  <si>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</si>
  <si>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</si>
  <si>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</si>
  <si>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</si>
  <si>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</si>
  <si>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</si>
  <si>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</si>
  <si>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</si>
  <si>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</si>
  <si>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</si>
  <si>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</si>
  <si>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</si>
  <si>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</si>
  <si>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</si>
  <si>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</si>
  <si>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</si>
  <si>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</si>
  <si>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</si>
  <si>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</si>
  <si>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</si>
  <si>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</si>
  <si>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</si>
  <si>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</si>
  <si>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</si>
  <si>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</si>
  <si>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</si>
  <si>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</si>
  <si>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</si>
  <si>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</si>
  <si>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</si>
  <si>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</si>
  <si>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</si>
  <si>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</si>
  <si>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</si>
  <si>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</si>
  <si>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</si>
  <si>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</si>
  <si>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</si>
  <si>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</si>
  <si>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</si>
  <si>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</si>
  <si>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</si>
  <si>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</si>
  <si>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</si>
  <si>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</si>
  <si>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</si>
  <si>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</si>
  <si>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</si>
  <si>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</si>
  <si>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</si>
  <si>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</si>
  <si>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</si>
  <si>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</si>
  <si>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</si>
  <si>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</si>
  <si>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</si>
  <si>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</si>
  <si>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</si>
  <si>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</si>
  <si>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</si>
  <si>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</si>
  <si>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</si>
  <si>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</si>
  <si>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</si>
  <si>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</si>
  <si>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</si>
  <si>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</si>
  <si>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</si>
  <si>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</si>
  <si>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</si>
  <si>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</si>
  <si>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</si>
  <si>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</si>
  <si>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</si>
  <si>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</si>
  <si>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</si>
  <si>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</si>
  <si>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</si>
  <si>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</si>
  <si>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</si>
  <si>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</si>
  <si>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</si>
  <si>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</si>
  <si>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</si>
  <si>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</si>
  <si>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</si>
  <si>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</si>
  <si>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</si>
  <si>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</si>
  <si>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</si>
  <si>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</si>
  <si>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</si>
  <si>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</si>
  <si>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</si>
  <si>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</si>
  <si>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</si>
  <si>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</si>
  <si>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</si>
  <si>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</si>
  <si>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</si>
  <si>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</si>
  <si>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</si>
  <si>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</si>
  <si>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</si>
  <si>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</si>
  <si>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</si>
  <si>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</si>
  <si>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</si>
  <si>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</si>
  <si>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</si>
  <si>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</si>
  <si>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</si>
  <si>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</si>
  <si>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</si>
  <si>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</si>
  <si>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</si>
  <si>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</si>
  <si>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</si>
  <si>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</si>
  <si>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</si>
  <si>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</si>
  <si>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</si>
  <si>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</si>
  <si>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</si>
  <si>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</si>
  <si>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</si>
  <si>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</si>
  <si>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</si>
  <si>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</si>
  <si>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</si>
  <si>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</si>
  <si>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</si>
  <si>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</si>
  <si>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</si>
  <si>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</si>
  <si>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</si>
  <si>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</si>
  <si>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</si>
  <si>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</si>
  <si>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</si>
  <si>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</si>
  <si>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</si>
  <si>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</si>
  <si>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</si>
  <si>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</si>
  <si>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</si>
  <si>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</si>
  <si>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</si>
  <si>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</si>
  <si>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</si>
  <si>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</si>
  <si>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</si>
  <si>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</si>
  <si>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</si>
  <si>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</si>
  <si>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</si>
  <si>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</si>
  <si>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</si>
  <si>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</si>
  <si>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</si>
  <si>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</si>
  <si>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</si>
  <si>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</si>
  <si>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</si>
  <si>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</si>
  <si>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</si>
  <si>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</si>
  <si>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</si>
  <si>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</si>
  <si>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</si>
  <si>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</si>
  <si>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</si>
  <si>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</si>
  <si>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</si>
  <si>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</si>
  <si>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</si>
  <si>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</si>
  <si>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</si>
  <si>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</si>
  <si>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</si>
  <si>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</si>
  <si>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</si>
  <si>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</si>
  <si>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</si>
  <si>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</si>
  <si>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</si>
  <si>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</si>
  <si>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</si>
  <si>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</si>
  <si>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</si>
  <si>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</si>
  <si>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</si>
  <si>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</si>
  <si>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</si>
  <si>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</si>
  <si>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</si>
  <si>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</si>
  <si>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</si>
  <si>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</si>
  <si>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</si>
  <si>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</si>
  <si>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</si>
  <si>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</si>
  <si>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</si>
  <si>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</si>
  <si>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</si>
  <si>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</si>
  <si>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</si>
  <si>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</si>
  <si>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</si>
  <si>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</si>
  <si>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</si>
  <si>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</si>
  <si>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</si>
  <si>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</si>
  <si>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</si>
  <si>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</si>
  <si>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</si>
  <si>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</si>
  <si>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</si>
  <si>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</si>
  <si>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</si>
  <si>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</si>
  <si>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</si>
  <si>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</si>
  <si>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</si>
  <si>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</si>
  <si>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</si>
  <si>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</si>
  <si>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</si>
  <si>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</si>
  <si>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</si>
  <si>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</si>
  <si>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</si>
  <si>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</si>
  <si>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</si>
  <si>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</si>
  <si>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</si>
  <si>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</si>
  <si>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</si>
  <si>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</si>
  <si>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</si>
  <si>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</si>
  <si>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</si>
  <si>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</si>
  <si>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</si>
  <si>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</si>
  <si>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</si>
  <si>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</si>
  <si>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</si>
  <si>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</si>
  <si>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</si>
  <si>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</si>
  <si>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</si>
  <si>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</si>
  <si>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</si>
  <si>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</si>
  <si>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</si>
  <si>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</si>
  <si>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</si>
  <si>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</si>
  <si>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</si>
  <si>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</si>
  <si>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</si>
  <si>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</si>
  <si>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</si>
  <si>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</si>
  <si>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</si>
  <si>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</si>
  <si>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</si>
  <si>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</si>
  <si>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</si>
  <si>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</si>
  <si>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</si>
  <si>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</si>
  <si>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</si>
  <si>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</si>
  <si>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</si>
  <si>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</si>
  <si>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</si>
  <si>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</si>
  <si>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</si>
  <si>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</si>
  <si>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</si>
  <si>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</si>
  <si>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</si>
  <si>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</si>
  <si>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</si>
  <si>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</si>
  <si>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</si>
  <si>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</si>
  <si>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</si>
  <si>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</si>
  <si>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</si>
  <si>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</si>
  <si>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</si>
  <si>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</si>
  <si>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</si>
  <si>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</si>
  <si>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</si>
  <si>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</si>
  <si>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</si>
  <si>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</si>
  <si>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</si>
  <si>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</si>
  <si>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</si>
  <si>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</si>
  <si>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</si>
  <si>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</si>
  <si>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</si>
  <si>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</si>
  <si>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</si>
  <si>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</si>
  <si>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</si>
  <si>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</si>
  <si>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</si>
  <si>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</si>
  <si>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</si>
  <si>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</si>
  <si>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</si>
  <si>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</si>
  <si>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</si>
  <si>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</si>
  <si>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</si>
  <si>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</si>
  <si>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</si>
  <si>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</si>
  <si>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</si>
  <si>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</si>
  <si>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</si>
  <si>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</si>
  <si>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</si>
  <si>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</si>
  <si>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</si>
  <si>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</si>
  <si>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</si>
  <si>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</si>
  <si>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</si>
  <si>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</si>
  <si>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</si>
  <si>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</si>
  <si>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</si>
  <si>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</si>
  <si>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</si>
  <si>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</si>
  <si>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</si>
  <si>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</si>
  <si>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</si>
  <si>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</si>
  <si>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</si>
  <si>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</si>
  <si>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</si>
  <si>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</si>
  <si>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</si>
  <si>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</si>
  <si>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</si>
  <si>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</si>
  <si>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</si>
  <si>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</si>
  <si>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</si>
  <si>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</si>
  <si>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</si>
  <si>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</si>
  <si>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</si>
  <si>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</si>
  <si>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</si>
  <si>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</si>
  <si>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</si>
  <si>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</si>
  <si>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</si>
  <si>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</si>
  <si>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</si>
  <si>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</si>
  <si>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</si>
  <si>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</si>
  <si>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</si>
  <si>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</si>
  <si>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</si>
  <si>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</si>
  <si>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</si>
  <si>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</si>
  <si>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</si>
  <si>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</si>
  <si>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</si>
  <si>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</si>
  <si>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</si>
  <si>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</si>
  <si>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</si>
  <si>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</si>
  <si>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</si>
  <si>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</si>
  <si>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</si>
  <si>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</si>
  <si>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</si>
  <si>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</si>
  <si>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</si>
  <si>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</si>
  <si>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</si>
  <si>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</si>
  <si>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</si>
  <si>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</si>
  <si>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</si>
  <si>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</si>
  <si>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</si>
  <si>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</si>
  <si>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</si>
  <si>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</si>
  <si>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</si>
  <si>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</si>
  <si>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</si>
  <si>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</si>
  <si>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</si>
  <si>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</si>
  <si>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</si>
  <si>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</si>
  <si>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</si>
  <si>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</si>
  <si>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</si>
  <si>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</si>
  <si>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</si>
  <si>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</si>
  <si>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</si>
  <si>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</si>
  <si>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</si>
  <si>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</si>
  <si>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</si>
  <si>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</si>
  <si>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</si>
  <si>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</si>
  <si>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</si>
  <si>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</si>
  <si>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</si>
  <si>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</si>
  <si>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</si>
  <si>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</si>
  <si>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</si>
  <si>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</si>
  <si>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</si>
  <si>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</si>
  <si>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</si>
  <si>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</si>
  <si>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</si>
  <si>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</si>
  <si>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</si>
  <si>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</si>
  <si>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</si>
  <si>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</si>
  <si>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</si>
  <si>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</si>
  <si>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</si>
  <si>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</si>
  <si>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</si>
  <si>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</si>
  <si>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</si>
  <si>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</si>
  <si>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</si>
  <si>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</si>
  <si>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</si>
  <si>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</si>
  <si>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</si>
  <si>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</si>
  <si>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</si>
  <si>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</si>
  <si>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</si>
  <si>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</si>
  <si>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</si>
  <si>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</si>
  <si>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</si>
  <si>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</si>
  <si>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</si>
  <si>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</si>
  <si>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</si>
  <si>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</si>
  <si>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</si>
  <si>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</si>
  <si>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</si>
  <si>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</si>
  <si>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</si>
  <si>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</si>
  <si>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</si>
  <si>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</si>
  <si>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</si>
  <si>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</si>
  <si>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</si>
  <si>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</si>
  <si>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</si>
  <si>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</si>
  <si>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</si>
  <si>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</si>
  <si>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</si>
  <si>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</si>
  <si>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</si>
  <si>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</si>
  <si>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</si>
  <si>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</si>
  <si>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</si>
  <si>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</si>
  <si>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</si>
  <si>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</si>
  <si>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</si>
  <si>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</si>
  <si>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</si>
  <si>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</si>
  <si>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</si>
  <si>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</si>
  <si>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</si>
  <si>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</si>
  <si>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</si>
  <si>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</si>
  <si>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</si>
  <si>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</si>
  <si>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</si>
  <si>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</si>
  <si>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</si>
  <si>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</si>
  <si>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</si>
  <si>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</si>
  <si>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</si>
  <si>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</si>
  <si>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</si>
  <si>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</si>
  <si>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</si>
  <si>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</si>
  <si>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</si>
  <si>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</si>
  <si>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</si>
  <si>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</si>
  <si>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</si>
  <si>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</si>
  <si>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</si>
  <si>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</si>
  <si>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</si>
  <si>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</si>
  <si>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</si>
  <si>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</si>
  <si>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</si>
  <si>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</si>
  <si>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</si>
  <si>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</si>
  <si>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</si>
  <si>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</si>
  <si>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</si>
  <si>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</si>
  <si>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</si>
  <si>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</si>
  <si>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</si>
  <si>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</si>
  <si>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</si>
  <si>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</si>
  <si>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</si>
  <si>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</si>
  <si>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</si>
  <si>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</si>
  <si>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</si>
  <si>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</si>
  <si>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</si>
  <si>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</si>
  <si>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</si>
  <si>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</si>
  <si>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</si>
  <si>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</si>
  <si>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</si>
  <si>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</si>
  <si>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</si>
  <si>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</si>
  <si>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</si>
  <si>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</si>
  <si>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</si>
  <si>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</si>
  <si>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</si>
  <si>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</si>
  <si>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</si>
  <si>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</si>
  <si>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</si>
  <si>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</si>
  <si>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</si>
  <si>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</si>
  <si>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</si>
  <si>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</si>
  <si>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</si>
  <si>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</si>
  <si>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</si>
  <si>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</si>
  <si>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</si>
  <si>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</si>
  <si>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</si>
  <si>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</si>
  <si>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</si>
  <si>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</si>
  <si>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</si>
  <si>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</si>
  <si>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</si>
  <si>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</si>
  <si>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</si>
  <si>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</si>
  <si>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</si>
  <si>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</si>
  <si>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</si>
  <si>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</si>
  <si>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</si>
  <si>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</si>
  <si>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</si>
  <si>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</si>
  <si>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</si>
  <si>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</si>
  <si>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</si>
  <si>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</si>
  <si>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</si>
  <si>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</si>
  <si>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</si>
  <si>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</si>
  <si>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</si>
  <si>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</si>
  <si>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</si>
  <si>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</si>
  <si>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</si>
  <si>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</si>
  <si>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</si>
  <si>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</si>
  <si>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</si>
  <si>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</si>
  <si>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</si>
  <si>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</si>
  <si>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</si>
  <si>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</si>
  <si>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</si>
  <si>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</si>
  <si>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</si>
  <si>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</si>
  <si>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</si>
  <si>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</si>
  <si>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</si>
  <si>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</si>
  <si>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</si>
  <si>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</si>
  <si>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</si>
  <si>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</si>
  <si>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</si>
  <si>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</si>
  <si>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</si>
  <si>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</si>
  <si>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</si>
  <si>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</si>
  <si>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</si>
  <si>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</si>
  <si>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</si>
  <si>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</si>
  <si>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</si>
  <si>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</si>
  <si>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</si>
  <si>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</si>
  <si>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</si>
  <si>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</si>
  <si>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</si>
  <si>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</si>
  <si>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</si>
  <si>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</si>
  <si>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</si>
  <si>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</si>
  <si>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</si>
  <si>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</si>
  <si>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</si>
  <si>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</si>
  <si>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</si>
  <si>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</si>
  <si>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</si>
  <si>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</si>
  <si>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</si>
  <si>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</si>
  <si>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</si>
  <si>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</si>
  <si>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</si>
  <si>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</si>
  <si>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</si>
  <si>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</si>
  <si>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</si>
  <si>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</si>
  <si>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</si>
  <si>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</si>
  <si>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</si>
  <si>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</si>
  <si>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</si>
  <si>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</si>
  <si>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</si>
  <si>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</si>
  <si>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</si>
  <si>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</si>
  <si>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</si>
  <si>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</si>
  <si>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</si>
  <si>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</si>
  <si>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</si>
  <si>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</si>
  <si>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</si>
  <si>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</si>
  <si>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</si>
  <si>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</si>
  <si>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</si>
  <si>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</si>
  <si>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</si>
  <si>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</si>
  <si>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</si>
  <si>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</si>
  <si>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</si>
  <si>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</si>
  <si>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</si>
  <si>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</si>
  <si>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</si>
  <si>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</si>
  <si>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</si>
  <si>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</si>
  <si>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</si>
  <si>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</si>
  <si>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</si>
  <si>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</si>
  <si>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</si>
  <si>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</si>
  <si>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</si>
  <si>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</si>
  <si>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</si>
  <si>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</si>
  <si>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</si>
  <si>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</si>
  <si>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</si>
  <si>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</si>
  <si>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</si>
  <si>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</si>
  <si>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</si>
  <si>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</si>
  <si>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</si>
  <si>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</si>
  <si>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</si>
  <si>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</si>
  <si>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</si>
  <si>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</si>
  <si>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</si>
  <si>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</si>
  <si>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</si>
  <si>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</si>
  <si>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</si>
  <si>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</si>
  <si>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</si>
  <si>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</si>
  <si>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</si>
  <si>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</si>
  <si>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</si>
  <si>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</si>
  <si>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</si>
  <si>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</si>
  <si>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</si>
  <si>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</si>
  <si>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</si>
  <si>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</si>
  <si>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</si>
  <si>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</si>
  <si>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</si>
  <si>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</si>
  <si>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</si>
  <si>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</si>
  <si>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</si>
  <si>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</si>
  <si>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</si>
  <si>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</si>
  <si>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</si>
  <si>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</si>
  <si>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</si>
  <si>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</si>
  <si>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</si>
  <si>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</si>
  <si>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</si>
  <si>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</si>
  <si>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</si>
  <si>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</si>
  <si>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</si>
  <si>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</si>
  <si>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</si>
  <si>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</si>
  <si>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</si>
  <si>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</si>
  <si>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</si>
  <si>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</si>
  <si>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</si>
  <si>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</si>
  <si>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</si>
  <si>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</si>
  <si>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</si>
  <si>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</si>
  <si>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</si>
  <si>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</si>
  <si>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</si>
  <si>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</si>
  <si>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</si>
  <si>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</si>
  <si>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</si>
  <si>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</si>
  <si>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</si>
  <si>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</si>
  <si>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</si>
  <si>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</si>
  <si>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</si>
  <si>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</si>
  <si>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</si>
  <si>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</si>
  <si>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</si>
  <si>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</si>
  <si>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</si>
  <si>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</si>
  <si>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</si>
  <si>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</si>
  <si>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</si>
  <si>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</si>
  <si>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</si>
  <si>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</si>
  <si>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</si>
  <si>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</si>
  <si>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</si>
  <si>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</si>
  <si>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</si>
  <si>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</si>
  <si>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</si>
  <si>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</si>
  <si>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</si>
  <si>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</si>
  <si>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</si>
  <si>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</si>
  <si>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</si>
  <si>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</si>
  <si>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</si>
  <si>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</si>
  <si>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</si>
  <si>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</si>
  <si>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</si>
  <si>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</si>
  <si>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</si>
  <si>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</si>
  <si>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</si>
  <si>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</si>
  <si>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</si>
  <si>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</si>
  <si>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</si>
  <si>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</si>
  <si>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</si>
  <si>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</si>
  <si>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</si>
  <si>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</si>
  <si>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</si>
  <si>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</si>
  <si>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</si>
  <si>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</si>
  <si>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</si>
  <si>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</si>
  <si>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</si>
  <si>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</si>
  <si>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</si>
  <si>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</si>
  <si>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</si>
  <si>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</si>
  <si>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</si>
  <si>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</si>
  <si>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</si>
  <si>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</si>
  <si>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</si>
  <si>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</si>
  <si>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</si>
  <si>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</si>
  <si>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</si>
  <si>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</si>
  <si>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</si>
  <si>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</si>
  <si>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</si>
  <si>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</si>
  <si>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</si>
  <si>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</si>
  <si>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</si>
  <si>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</si>
  <si>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</si>
  <si>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</si>
  <si>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</si>
  <si>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</si>
  <si>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</si>
  <si>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</si>
  <si>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</si>
  <si>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</si>
  <si>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</si>
  <si>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</si>
  <si>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</si>
  <si>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</si>
  <si>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</si>
  <si>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</si>
  <si>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</si>
  <si>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</si>
  <si>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</si>
  <si>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</si>
  <si>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</si>
  <si>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</si>
  <si>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</si>
  <si>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</si>
  <si>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</si>
  <si>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</si>
  <si>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</si>
  <si>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</si>
  <si>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</si>
  <si>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</si>
  <si>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</si>
  <si>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</si>
  <si>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</si>
  <si>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</si>
  <si>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</si>
  <si>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</si>
  <si>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</si>
  <si>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</si>
  <si>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</si>
  <si>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</si>
  <si>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</si>
  <si>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</si>
  <si>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</si>
  <si>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</si>
  <si>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</si>
  <si>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</si>
  <si>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</si>
  <si>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</si>
  <si>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</si>
  <si>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</si>
  <si>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</si>
  <si>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</si>
  <si>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</si>
  <si>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</si>
  <si>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</si>
  <si>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</si>
  <si>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</si>
  <si>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</si>
  <si>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</si>
  <si>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</si>
  <si>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</si>
  <si>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</si>
  <si>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</si>
  <si>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</si>
  <si>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</si>
  <si>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</si>
  <si>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</si>
  <si>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</si>
  <si>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</si>
  <si>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</si>
  <si>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</si>
  <si>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</si>
  <si>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</si>
  <si>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</si>
  <si>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</si>
  <si>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</si>
  <si>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</si>
  <si>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</si>
  <si>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</si>
  <si>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</si>
  <si>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</si>
  <si>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</si>
  <si>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</si>
  <si>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</si>
  <si>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</si>
  <si>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</si>
  <si>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</si>
  <si>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</si>
  <si>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</si>
  <si>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</si>
  <si>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</si>
  <si>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</si>
  <si>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</si>
  <si>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</si>
  <si>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</si>
  <si>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</si>
  <si>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</si>
  <si>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</si>
  <si>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</si>
  <si>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</si>
  <si>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</si>
  <si>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</si>
  <si>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</si>
  <si>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</si>
  <si>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</si>
  <si>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</si>
  <si>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</si>
  <si>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</si>
  <si>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</si>
  <si>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</si>
  <si>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</si>
  <si>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</si>
  <si>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</si>
  <si>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</si>
  <si>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</si>
  <si>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</si>
  <si>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</si>
  <si>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</si>
  <si>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</si>
  <si>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</si>
  <si>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</si>
  <si>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</si>
  <si>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</si>
  <si>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</si>
  <si>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</si>
  <si>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</si>
  <si>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</si>
  <si>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</si>
  <si>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</si>
  <si>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</si>
  <si>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</si>
  <si>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</si>
  <si>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</si>
  <si>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</si>
  <si>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</si>
  <si>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</si>
  <si>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</si>
  <si>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</si>
  <si>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</si>
  <si>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</si>
  <si>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</si>
  <si>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</si>
  <si>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</si>
  <si>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</si>
  <si>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</si>
  <si>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</si>
  <si>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</si>
  <si>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</si>
  <si>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</si>
  <si>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</si>
  <si>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</si>
  <si>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</si>
  <si>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</si>
  <si>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</si>
  <si>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</si>
  <si>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</si>
  <si>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</si>
  <si>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</si>
  <si>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</si>
  <si>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</si>
  <si>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</si>
  <si>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</si>
  <si>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</si>
  <si>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</si>
  <si>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</si>
  <si>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</si>
  <si>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</si>
  <si>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</si>
  <si>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</si>
  <si>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</si>
  <si>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</si>
  <si>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</si>
  <si>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</si>
  <si>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</si>
  <si>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</si>
  <si>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</si>
  <si>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</si>
  <si>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</si>
  <si>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</si>
  <si>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</si>
  <si>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</si>
  <si>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</si>
  <si>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</si>
  <si>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</si>
  <si>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</si>
  <si>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</si>
  <si>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</si>
  <si>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</si>
  <si>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</si>
  <si>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</si>
  <si>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</si>
  <si>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</si>
  <si>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</si>
  <si>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</si>
  <si>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</si>
  <si>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</si>
  <si>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</si>
  <si>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</si>
  <si>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</si>
  <si>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</si>
  <si>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</si>
  <si>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</si>
  <si>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</si>
  <si>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</si>
  <si>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</si>
  <si>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</si>
  <si>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</si>
  <si>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</si>
  <si>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</si>
  <si>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</si>
  <si>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</si>
  <si>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</si>
  <si>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</si>
  <si>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</si>
  <si>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</si>
  <si>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</si>
  <si>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</si>
  <si>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</si>
  <si>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</si>
  <si>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</si>
  <si>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</si>
  <si>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</si>
  <si>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</si>
  <si>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</si>
  <si>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</si>
  <si>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</si>
  <si>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</si>
  <si>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</si>
  <si>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</si>
  <si>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</si>
  <si>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</si>
  <si>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</si>
  <si>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</si>
  <si>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</si>
  <si>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</si>
  <si>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</si>
  <si>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</si>
  <si>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</si>
  <si>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</si>
  <si>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</si>
  <si>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</si>
  <si>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</si>
  <si>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</si>
  <si>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</si>
  <si>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</si>
  <si>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</si>
  <si>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</si>
  <si>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</si>
  <si>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</si>
  <si>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</si>
  <si>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</si>
  <si>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</si>
  <si>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</si>
  <si>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</si>
  <si>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</si>
  <si>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</si>
  <si>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</si>
  <si>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</si>
  <si>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</si>
  <si>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</si>
  <si>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</si>
  <si>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</si>
  <si>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</si>
  <si>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</si>
  <si>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</si>
  <si>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</si>
  <si>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</si>
  <si>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</si>
  <si>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</si>
  <si>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</si>
  <si>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</si>
  <si>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</si>
  <si>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</si>
  <si>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</si>
  <si>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</si>
  <si>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</si>
  <si>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</si>
  <si>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</si>
  <si>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</si>
  <si>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</si>
  <si>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</si>
  <si>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</si>
  <si>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</si>
  <si>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</si>
  <si>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</si>
  <si>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</si>
  <si>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</si>
  <si>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</si>
  <si>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</si>
  <si>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</si>
  <si>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</si>
  <si>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</si>
  <si>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</si>
  <si>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</si>
  <si>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</si>
  <si>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</si>
  <si>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</si>
  <si>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</si>
  <si>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</si>
  <si>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</si>
  <si>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</si>
  <si>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</si>
  <si>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</si>
  <si>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</si>
  <si>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</si>
  <si>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</si>
  <si>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</si>
  <si>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</si>
  <si>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</si>
  <si>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</si>
  <si>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</si>
  <si>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</si>
  <si>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</si>
  <si>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</si>
  <si>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</si>
  <si>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</si>
  <si>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</si>
  <si>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</si>
  <si>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</si>
  <si>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</si>
  <si>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</si>
  <si>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</si>
  <si>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</si>
  <si>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</si>
  <si>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</si>
  <si>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</si>
  <si>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</si>
  <si>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</si>
  <si>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</si>
  <si>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</si>
  <si>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</si>
  <si>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</si>
  <si>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</si>
  <si>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</si>
  <si>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</si>
  <si>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</si>
  <si>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</si>
  <si>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</si>
  <si>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</si>
  <si>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</si>
  <si>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</si>
  <si>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</si>
  <si>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</si>
  <si>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</si>
  <si>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</si>
  <si>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</si>
  <si>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</si>
  <si>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</si>
  <si>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</si>
  <si>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</si>
  <si>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</si>
  <si>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</si>
  <si>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</si>
  <si>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</si>
  <si>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</si>
  <si>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</si>
  <si>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</si>
  <si>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</si>
  <si>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</si>
  <si>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</si>
  <si>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</si>
  <si>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</si>
  <si>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</si>
  <si>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</si>
  <si>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</si>
  <si>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</si>
  <si>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</si>
  <si>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</si>
  <si>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</si>
  <si>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</si>
  <si>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</si>
  <si>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</si>
  <si>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</si>
  <si>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</si>
  <si>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</si>
  <si>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</si>
  <si>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</si>
  <si>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</si>
  <si>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</si>
  <si>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</si>
  <si>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</si>
  <si>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</si>
  <si>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</si>
  <si>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</si>
  <si>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</si>
  <si>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</si>
  <si>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</si>
  <si>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</si>
  <si>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</si>
  <si>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</si>
  <si>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</si>
  <si>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</si>
  <si>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</si>
  <si>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</si>
  <si>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</si>
  <si>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</si>
  <si>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</si>
  <si>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</si>
  <si>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</si>
  <si>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</si>
  <si>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</si>
  <si>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</si>
  <si>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</si>
  <si>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</si>
  <si>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</si>
  <si>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</si>
  <si>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</si>
  <si>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</si>
  <si>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</si>
  <si>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</si>
  <si>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</si>
  <si>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</si>
  <si>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</si>
  <si>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</si>
  <si>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</si>
  <si>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</si>
  <si>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</si>
  <si>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</si>
  <si>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</si>
  <si>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</si>
  <si>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</si>
  <si>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</si>
  <si>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</si>
  <si>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</si>
  <si>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</si>
  <si>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</si>
  <si>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</si>
  <si>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</si>
  <si>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</si>
  <si>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</si>
  <si>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</si>
  <si>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</si>
  <si>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</si>
  <si>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</si>
  <si>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</si>
  <si>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</si>
  <si>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</si>
  <si>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</si>
  <si>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</si>
  <si>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</si>
  <si>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</si>
  <si>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</si>
  <si>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</si>
  <si>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</si>
  <si>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</si>
  <si>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</si>
  <si>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</si>
  <si>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</si>
  <si>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</si>
  <si>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</si>
  <si>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</si>
  <si>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</si>
  <si>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</si>
  <si>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</si>
  <si>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</si>
  <si>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</si>
  <si>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</si>
  <si>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</si>
  <si>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</si>
  <si>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</si>
  <si>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</si>
  <si>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</si>
  <si>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</si>
  <si>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</si>
  <si>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</si>
  <si>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</si>
  <si>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</si>
  <si>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</si>
  <si>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</si>
  <si>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</si>
  <si>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</si>
  <si>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</si>
  <si>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</si>
  <si>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</si>
  <si>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</si>
  <si>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</si>
  <si>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</si>
  <si>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</si>
  <si>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</si>
  <si>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</si>
  <si>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</si>
  <si>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</si>
  <si>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</si>
  <si>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</si>
  <si>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</si>
  <si>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</si>
  <si>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</si>
  <si>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</si>
  <si>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</si>
  <si>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</si>
  <si>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</si>
  <si>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</si>
  <si>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</si>
  <si>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</si>
  <si>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</si>
  <si>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</si>
  <si>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</si>
  <si>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</si>
  <si>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</si>
  <si>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</si>
  <si>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</si>
  <si>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</si>
  <si>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</si>
  <si>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</si>
  <si>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</si>
  <si>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</si>
  <si>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</si>
  <si>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</si>
  <si>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</si>
  <si>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</si>
  <si>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</si>
  <si>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</si>
  <si>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</si>
  <si>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</si>
  <si>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</si>
  <si>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</si>
  <si>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</si>
  <si>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</si>
  <si>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</si>
  <si>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</si>
  <si>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</si>
  <si>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</si>
  <si>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</si>
  <si>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</si>
  <si>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</si>
  <si>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</si>
  <si>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</si>
  <si>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</si>
  <si>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</si>
  <si>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</si>
  <si>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</si>
  <si>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</si>
  <si>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</si>
  <si>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</si>
  <si>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</si>
  <si>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</si>
  <si>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</si>
  <si>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</si>
  <si>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</si>
  <si>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</si>
  <si>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</si>
  <si>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</si>
  <si>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</si>
  <si>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</si>
  <si>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</si>
  <si>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</si>
  <si>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</si>
  <si>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</si>
  <si>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</si>
  <si>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</si>
  <si>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</si>
  <si>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</si>
  <si>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</si>
  <si>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</si>
  <si>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</si>
  <si>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</si>
  <si>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</si>
  <si>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</si>
  <si>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</si>
  <si>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</si>
  <si>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</si>
  <si>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</si>
  <si>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</si>
  <si>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</si>
  <si>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</si>
  <si>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</si>
  <si>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</si>
  <si>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</si>
  <si>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</si>
  <si>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</si>
  <si>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</si>
  <si>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</si>
  <si>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</si>
  <si>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</si>
  <si>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</si>
  <si>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</si>
  <si>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</si>
  <si>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</si>
  <si>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</si>
  <si>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</si>
  <si>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</si>
  <si>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</si>
  <si>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</si>
  <si>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</si>
  <si>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</si>
  <si>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</si>
  <si>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</si>
  <si>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</si>
  <si>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</si>
  <si>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</si>
  <si>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</si>
  <si>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</si>
  <si>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</si>
  <si>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</si>
  <si>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</si>
  <si>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</si>
  <si>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</si>
  <si>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</si>
  <si>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</si>
  <si>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</si>
  <si>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</si>
  <si>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</si>
  <si>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</si>
  <si>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</si>
  <si>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</si>
  <si>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</si>
  <si>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</si>
  <si>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</si>
  <si>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</si>
  <si>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</si>
  <si>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</si>
  <si>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</si>
  <si>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</si>
  <si>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</si>
  <si>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</si>
  <si>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</si>
  <si>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</si>
  <si>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</si>
  <si>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</si>
  <si>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</si>
  <si>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</si>
  <si>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</si>
  <si>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</si>
  <si>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</si>
  <si>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</si>
  <si>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</si>
  <si>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</si>
  <si>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</si>
  <si>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</si>
  <si>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</si>
  <si>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</si>
  <si>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</si>
  <si>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</si>
  <si>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</si>
  <si>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</si>
  <si>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</si>
  <si>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</si>
  <si>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</si>
  <si>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</si>
  <si>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</si>
  <si>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</si>
  <si>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</si>
  <si>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</si>
  <si>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</si>
  <si>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</si>
  <si>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</si>
  <si>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</si>
  <si>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</si>
  <si>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</si>
  <si>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</si>
  <si>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</si>
  <si>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</si>
  <si>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</si>
  <si>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</si>
  <si>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</si>
  <si>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</si>
  <si>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</si>
  <si>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</si>
  <si>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</si>
  <si>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</si>
  <si>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</si>
  <si>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</si>
  <si>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</si>
  <si>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</si>
  <si>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</si>
  <si>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</si>
  <si>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</si>
  <si>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</si>
  <si>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</si>
  <si>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</si>
  <si>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</si>
  <si>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</si>
  <si>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</si>
  <si>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</si>
  <si>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</si>
  <si>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</si>
  <si>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</si>
  <si>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</si>
  <si>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</si>
  <si>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</si>
  <si>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</si>
  <si>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</si>
  <si>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</si>
  <si>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</si>
  <si>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</si>
  <si>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</si>
  <si>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</si>
  <si>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</si>
  <si>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</si>
  <si>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</si>
  <si>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</si>
  <si>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</si>
  <si>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</si>
  <si>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</si>
  <si>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</si>
  <si>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</si>
  <si>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</si>
  <si>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</si>
  <si>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</si>
  <si>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</si>
  <si>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</si>
  <si>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</si>
  <si>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</si>
  <si>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</si>
  <si>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</si>
  <si>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</si>
  <si>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</si>
  <si>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</si>
  <si>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</si>
  <si>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</si>
  <si>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</si>
  <si>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</si>
  <si>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</si>
  <si>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</si>
  <si>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</si>
  <si>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</si>
  <si>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</si>
  <si>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</si>
  <si>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</si>
  <si>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</si>
  <si>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</si>
  <si>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</si>
  <si>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</si>
  <si>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</si>
  <si>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</si>
  <si>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</si>
  <si>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</si>
  <si>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</si>
  <si>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</si>
  <si>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</si>
  <si>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</si>
  <si>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</si>
  <si>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</si>
  <si>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</si>
  <si>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</si>
  <si>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</si>
  <si>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</si>
  <si>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</si>
  <si>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</si>
  <si>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</si>
  <si>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</si>
  <si>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</si>
  <si>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</si>
  <si>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</si>
  <si>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</si>
  <si>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</si>
  <si>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</si>
  <si>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</si>
  <si>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</si>
  <si>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</si>
  <si>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</si>
  <si>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</si>
  <si>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</si>
  <si>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</si>
  <si>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</si>
  <si>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</si>
  <si>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</si>
  <si>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</si>
  <si>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</si>
  <si>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</si>
  <si>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</si>
  <si>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</si>
  <si>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</si>
  <si>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</si>
  <si>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</si>
  <si>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</si>
  <si>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</si>
  <si>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</si>
  <si>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</si>
  <si>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</si>
  <si>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</si>
  <si>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</si>
  <si>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</si>
  <si>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</si>
  <si>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</si>
  <si>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</si>
  <si>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</si>
  <si>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</si>
  <si>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</si>
  <si>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</si>
  <si>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</si>
  <si>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</si>
  <si>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</si>
  <si>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</si>
  <si>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</si>
  <si>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</si>
  <si>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</si>
  <si>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</si>
  <si>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</si>
  <si>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</si>
  <si>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</si>
  <si>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</si>
  <si>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</si>
  <si>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</si>
  <si>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</si>
  <si>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</si>
  <si>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</si>
  <si>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</si>
  <si>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</si>
  <si>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</si>
  <si>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</si>
  <si>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</si>
  <si>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</si>
  <si>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</si>
  <si>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</si>
  <si>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</si>
  <si>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</si>
  <si>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</si>
  <si>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</si>
  <si>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</si>
  <si>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</si>
  <si>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</si>
  <si>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</si>
  <si>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</si>
  <si>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</si>
  <si>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</si>
  <si>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</si>
  <si>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</si>
  <si>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</si>
  <si>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</si>
  <si>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</si>
  <si>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</si>
  <si>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</si>
  <si>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</si>
  <si>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</si>
  <si>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</si>
  <si>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</si>
  <si>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</si>
  <si>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</si>
  <si>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</si>
  <si>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</si>
  <si>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</si>
  <si>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</si>
  <si>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</si>
  <si>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</si>
  <si>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</si>
  <si>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</si>
  <si>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</si>
  <si>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</si>
  <si>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</si>
  <si>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</si>
  <si>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</si>
  <si>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</si>
  <si>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</si>
  <si>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</si>
  <si>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</si>
  <si>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</si>
  <si>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</si>
  <si>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</si>
  <si>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</si>
  <si>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</si>
  <si>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</si>
  <si>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</si>
  <si>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</si>
  <si>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</si>
  <si>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</si>
  <si>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</si>
  <si>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</si>
  <si>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</si>
  <si>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</si>
  <si>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</si>
  <si>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</si>
  <si>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</si>
  <si>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</si>
  <si>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</si>
  <si>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</si>
  <si>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</si>
  <si>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</si>
  <si>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</si>
  <si>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</si>
  <si>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</si>
  <si>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</si>
  <si>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</si>
  <si>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</si>
  <si>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</si>
  <si>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</si>
  <si>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</si>
  <si>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</si>
  <si>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</si>
  <si>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</si>
  <si>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</si>
  <si>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</si>
  <si>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</si>
  <si>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</si>
  <si>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</si>
  <si>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</si>
  <si>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</si>
  <si>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</si>
  <si>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</si>
  <si>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</si>
  <si>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</si>
  <si>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</si>
  <si>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</si>
  <si>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</si>
  <si>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</si>
  <si>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</si>
  <si>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</si>
  <si>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</si>
  <si>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</si>
  <si>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</si>
  <si>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</si>
  <si>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</si>
  <si>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</si>
  <si>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</si>
  <si>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</si>
  <si>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</si>
  <si>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</si>
  <si>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</si>
  <si>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</si>
  <si>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</si>
  <si>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</si>
  <si>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</si>
  <si>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</si>
  <si>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</si>
  <si>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</si>
  <si>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</si>
  <si>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</si>
  <si>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</si>
  <si>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</si>
  <si>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</si>
  <si>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</si>
  <si>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</si>
  <si>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</si>
  <si>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</si>
  <si>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</si>
  <si>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</si>
  <si>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</si>
  <si>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</si>
  <si>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</si>
  <si>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</si>
  <si>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</si>
  <si>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</si>
  <si>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</si>
  <si>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</si>
  <si>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</si>
  <si>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</si>
  <si>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</si>
  <si>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</si>
  <si>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</si>
  <si>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</si>
  <si>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</si>
  <si>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</si>
  <si>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</si>
  <si>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</si>
  <si>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</si>
  <si>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</si>
  <si>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</si>
  <si>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</si>
  <si>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</si>
  <si>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</si>
  <si>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</si>
  <si>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</si>
  <si>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</si>
  <si>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</si>
  <si>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</si>
  <si>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</si>
  <si>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</si>
  <si>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</si>
  <si>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</si>
  <si>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</si>
  <si>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</si>
  <si>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</si>
  <si>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</si>
  <si>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</si>
  <si>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</si>
  <si>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</si>
  <si>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</si>
  <si>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</si>
  <si>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</si>
  <si>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</si>
  <si>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</si>
  <si>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</si>
  <si>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</si>
  <si>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</si>
  <si>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</si>
  <si>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</si>
  <si>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</si>
  <si>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</si>
  <si>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</si>
  <si>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</si>
  <si>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</si>
  <si>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</si>
  <si>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</si>
  <si>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</si>
  <si>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</si>
  <si>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</si>
  <si>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</si>
  <si>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</si>
  <si>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</si>
  <si>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</si>
  <si>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</si>
  <si>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</si>
  <si>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</si>
  <si>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</si>
  <si>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</si>
  <si>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</si>
  <si>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</si>
  <si>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</si>
  <si>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</si>
  <si>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</si>
  <si>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</si>
  <si>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</si>
  <si>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</si>
  <si>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</si>
  <si>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</si>
  <si>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</si>
  <si>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</si>
  <si>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</si>
  <si>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</si>
  <si>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</si>
  <si>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</si>
  <si>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</si>
  <si>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</si>
  <si>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</si>
  <si>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</si>
  <si>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</si>
  <si>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</si>
  <si>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</si>
  <si>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</si>
  <si>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</si>
  <si>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</si>
  <si>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</si>
  <si>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</si>
  <si>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</si>
  <si>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</si>
  <si>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</si>
  <si>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</si>
  <si>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</si>
  <si>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</si>
  <si>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</si>
  <si>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</si>
  <si>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</si>
  <si>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</si>
  <si>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</si>
  <si>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</si>
  <si>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</si>
  <si>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</si>
  <si>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</si>
  <si>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</si>
  <si>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</si>
  <si>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</si>
  <si>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</si>
  <si>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</si>
  <si>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</si>
  <si>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</si>
  <si>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</si>
  <si>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</si>
  <si>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</si>
  <si>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</si>
  <si>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</si>
  <si>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</si>
  <si>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</si>
  <si>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</si>
  <si>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</si>
  <si>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</si>
  <si>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</si>
  <si>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</si>
  <si>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</si>
  <si>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</si>
  <si>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</si>
  <si>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</si>
  <si>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</si>
  <si>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</si>
  <si>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</si>
  <si>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</si>
  <si>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</si>
  <si>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</si>
  <si>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</si>
  <si>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</si>
  <si>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</si>
  <si>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</si>
  <si>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</si>
  <si>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</si>
  <si>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</si>
  <si>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</si>
  <si>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</si>
  <si>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</si>
  <si>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</si>
  <si>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</si>
  <si>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</si>
  <si>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</si>
  <si>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</si>
  <si>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</si>
  <si>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</si>
  <si>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</si>
  <si>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</si>
  <si>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</si>
  <si>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</si>
  <si>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</si>
  <si>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</si>
  <si>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</si>
  <si>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</si>
  <si>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</si>
  <si>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</si>
  <si>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</si>
  <si>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</si>
  <si>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</si>
  <si>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</si>
  <si>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</si>
  <si>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</si>
  <si>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</si>
  <si>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</si>
  <si>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</si>
  <si>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</si>
  <si>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</si>
  <si>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</si>
  <si>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</si>
  <si>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</si>
  <si>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</si>
  <si>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</si>
  <si>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</si>
  <si>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</si>
  <si>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</si>
  <si>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</si>
  <si>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</si>
  <si>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</si>
  <si>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</si>
  <si>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</si>
  <si>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</si>
  <si>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</si>
  <si>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</si>
  <si>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</si>
  <si>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</si>
  <si>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</si>
  <si>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</si>
  <si>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</si>
  <si>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</si>
  <si>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</si>
  <si>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</si>
  <si>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</si>
  <si>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</si>
  <si>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</si>
  <si>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</si>
  <si>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</si>
  <si>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</si>
  <si>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</si>
  <si>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</si>
  <si>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</si>
  <si>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</si>
  <si>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</si>
  <si>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</si>
  <si>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</si>
  <si>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</si>
  <si>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</si>
  <si>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</si>
  <si>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</si>
  <si>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</si>
  <si>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</si>
  <si>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</si>
  <si>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</si>
  <si>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</si>
  <si>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</si>
  <si>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</si>
  <si>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</si>
  <si>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</si>
  <si>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</si>
  <si>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</si>
  <si>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</si>
  <si>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</si>
  <si>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</si>
  <si>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</si>
  <si>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</si>
  <si>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</si>
  <si>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</si>
  <si>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</si>
  <si>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</si>
  <si>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</si>
  <si>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</si>
  <si>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</si>
  <si>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</si>
  <si>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</si>
  <si>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</si>
  <si>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</si>
  <si>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</si>
  <si>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</si>
  <si>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</si>
  <si>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</si>
  <si>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</si>
  <si>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</si>
  <si>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</si>
  <si>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</si>
  <si>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</si>
  <si>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</si>
  <si>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</si>
  <si>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</si>
  <si>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</si>
  <si>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</si>
  <si>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</si>
  <si>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</si>
  <si>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</si>
  <si>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</si>
  <si>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</si>
  <si>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</si>
  <si>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</si>
  <si>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</si>
  <si>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</si>
  <si>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</si>
  <si>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</si>
  <si>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</si>
  <si>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</si>
  <si>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</si>
  <si>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</si>
  <si>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</si>
  <si>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</si>
  <si>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</si>
  <si>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</si>
  <si>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</si>
  <si>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</si>
  <si>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</si>
  <si>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</si>
  <si>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</si>
  <si>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</si>
  <si>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</si>
  <si>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</si>
  <si>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</si>
  <si>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</si>
  <si>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</si>
  <si>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</si>
  <si>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</si>
  <si>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</si>
  <si>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</si>
  <si>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</si>
  <si>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</si>
  <si>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</si>
  <si>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</si>
  <si>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</si>
  <si>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</si>
  <si>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</si>
  <si>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</si>
  <si>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</si>
  <si>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</si>
  <si>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</si>
  <si>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</si>
  <si>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</si>
  <si>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</si>
  <si>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</si>
  <si>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</si>
  <si>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</si>
  <si>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</si>
  <si>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</si>
  <si>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</si>
  <si>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</si>
  <si>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</si>
  <si>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</si>
  <si>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</si>
  <si>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</si>
  <si>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</si>
  <si>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</si>
  <si>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</si>
  <si>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</si>
  <si>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</si>
  <si>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</si>
  <si>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</si>
  <si>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</si>
  <si>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</si>
  <si>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</si>
  <si>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</si>
  <si>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</si>
  <si>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</si>
  <si>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</si>
  <si>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</si>
  <si>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</si>
  <si>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</si>
  <si>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</si>
  <si>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</si>
  <si>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</si>
  <si>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</si>
  <si>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</si>
  <si>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</si>
  <si>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</si>
  <si>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</si>
  <si>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</si>
  <si>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</si>
  <si>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</si>
  <si>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</si>
  <si>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</si>
  <si>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</si>
  <si>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</si>
  <si>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</si>
  <si>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</si>
  <si>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</si>
  <si>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</si>
  <si>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</si>
  <si>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</si>
  <si>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</si>
  <si>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</si>
  <si>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</si>
  <si>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</si>
  <si>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</si>
  <si>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</si>
  <si>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</si>
  <si>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</si>
  <si>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</si>
  <si>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</si>
  <si>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</si>
  <si>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</si>
  <si>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</si>
  <si>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</si>
  <si>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</si>
  <si>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</si>
  <si>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</si>
  <si>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</si>
  <si>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</si>
  <si>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</si>
  <si>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</si>
  <si>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</si>
  <si>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</si>
  <si>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</si>
  <si>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</si>
  <si>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</si>
  <si>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</si>
  <si>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</si>
  <si>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</si>
  <si>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</si>
  <si>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</si>
  <si>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</si>
  <si>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</si>
  <si>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</si>
  <si>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</si>
  <si>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</si>
  <si>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</si>
  <si>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</si>
  <si>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</si>
  <si>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</si>
  <si>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</si>
  <si>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</si>
  <si>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</si>
  <si>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</si>
  <si>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</si>
  <si>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</si>
  <si>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</si>
  <si>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</si>
  <si>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</si>
  <si>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</si>
  <si>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</si>
  <si>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</si>
  <si>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</si>
  <si>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</si>
  <si>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</si>
  <si>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</si>
  <si>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</si>
  <si>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</si>
  <si>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</si>
  <si>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</si>
  <si>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</si>
  <si>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</si>
  <si>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</si>
  <si>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</si>
  <si>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</si>
  <si>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</si>
  <si>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</si>
  <si>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</si>
  <si>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</si>
  <si>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</si>
  <si>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</si>
  <si>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</si>
  <si>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</si>
  <si>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</si>
  <si>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</si>
  <si>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</si>
  <si>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</si>
  <si>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</si>
  <si>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</si>
  <si>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</si>
  <si>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</si>
  <si>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</si>
  <si>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</si>
  <si>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</si>
  <si>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</si>
  <si>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</si>
  <si>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</si>
  <si>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</si>
  <si>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</si>
  <si>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</si>
  <si>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</si>
  <si>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</si>
  <si>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</si>
  <si>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</si>
  <si>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</si>
  <si>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</si>
  <si>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</si>
  <si>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</si>
  <si>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</si>
  <si>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</si>
  <si>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</si>
  <si>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</si>
  <si>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</si>
  <si>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</si>
  <si>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</si>
  <si>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</si>
  <si>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</si>
  <si>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</si>
  <si>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</si>
  <si>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</si>
  <si>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</si>
  <si>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</si>
  <si>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</si>
  <si>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</si>
  <si>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</si>
  <si>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</si>
  <si>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</si>
  <si>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</si>
  <si>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</si>
  <si>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</si>
  <si>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</si>
  <si>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</si>
  <si>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</si>
  <si>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</si>
  <si>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</si>
  <si>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</si>
  <si>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</si>
  <si>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</si>
  <si>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</si>
  <si>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</si>
  <si>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</si>
  <si>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</si>
  <si>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</si>
  <si>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</si>
  <si>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</si>
  <si>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</si>
  <si>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</si>
  <si>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</si>
  <si>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</si>
  <si>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</si>
  <si>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</si>
  <si>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</si>
  <si>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</si>
  <si>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</si>
  <si>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</si>
  <si>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</si>
  <si>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</si>
  <si>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</si>
  <si>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</si>
  <si>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</si>
  <si>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</si>
  <si>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</si>
  <si>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</si>
  <si>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</si>
  <si>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</si>
  <si>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</si>
  <si>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</si>
  <si>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</si>
  <si>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</si>
  <si>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</si>
  <si>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</si>
  <si>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</si>
  <si>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</si>
  <si>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</si>
  <si>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</si>
  <si>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</si>
  <si>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</si>
  <si>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</si>
  <si>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</si>
  <si>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</si>
  <si>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</si>
  <si>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</si>
  <si>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</si>
  <si>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</si>
  <si>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</si>
  <si>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</si>
  <si>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</si>
  <si>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</si>
  <si>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</si>
  <si>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</si>
  <si>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</si>
  <si>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</si>
  <si>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</si>
  <si>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</si>
  <si>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</si>
  <si>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</si>
  <si>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</si>
  <si>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</si>
  <si>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</si>
  <si>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</si>
  <si>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</si>
  <si>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</si>
  <si>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</si>
  <si>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</si>
  <si>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</si>
  <si>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</si>
  <si>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</si>
  <si>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</si>
  <si>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</si>
  <si>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</si>
  <si>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</si>
  <si>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</si>
  <si>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</si>
  <si>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</si>
  <si>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</si>
  <si>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</si>
  <si>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</si>
  <si>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</si>
  <si>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</si>
  <si>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</si>
  <si>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</si>
  <si>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</si>
  <si>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</si>
  <si>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</si>
  <si>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</si>
  <si>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</si>
  <si>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</si>
  <si>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</si>
  <si>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</si>
  <si>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</si>
  <si>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</si>
  <si>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</si>
  <si>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</si>
  <si>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</si>
  <si>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</si>
  <si>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</si>
  <si>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</si>
  <si>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</si>
  <si>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</si>
  <si>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</si>
  <si>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</si>
  <si>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</si>
  <si>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</si>
  <si>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</si>
  <si>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</si>
  <si>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</si>
  <si>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</si>
  <si>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</si>
  <si>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</si>
  <si>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</si>
  <si>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</si>
  <si>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</si>
  <si>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</si>
  <si>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</si>
  <si>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</si>
  <si>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</si>
  <si>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</si>
  <si>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</si>
  <si>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</si>
  <si>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</si>
  <si>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</si>
  <si>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</si>
  <si>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</si>
  <si>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</si>
  <si>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</si>
  <si>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</si>
  <si>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</si>
  <si>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</si>
  <si>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</si>
  <si>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</si>
  <si>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</si>
  <si>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</si>
  <si>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</si>
  <si>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</si>
  <si>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</si>
  <si>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</si>
  <si>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</si>
  <si>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</si>
  <si>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</si>
  <si>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</si>
  <si>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</si>
  <si>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</si>
  <si>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</si>
  <si>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</si>
  <si>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</si>
  <si>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</si>
  <si>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</si>
  <si>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</si>
  <si>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</si>
  <si>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</si>
  <si>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</si>
  <si>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</si>
  <si>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</si>
  <si>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</si>
  <si>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</si>
  <si>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</si>
  <si>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</si>
  <si>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</si>
  <si>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</si>
  <si>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</si>
  <si>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</si>
  <si>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</si>
  <si>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</si>
  <si>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</si>
  <si>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</si>
  <si>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</si>
  <si>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</si>
  <si>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</si>
  <si>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</si>
  <si>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</si>
  <si>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</si>
  <si>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</si>
  <si>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</si>
  <si>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</si>
  <si>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</si>
  <si>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</si>
  <si>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</si>
  <si>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</si>
  <si>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</si>
  <si>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</si>
  <si>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</si>
  <si>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</si>
  <si>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</si>
  <si>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</si>
  <si>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</si>
  <si>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</si>
  <si>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</si>
  <si>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</si>
  <si>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</si>
  <si>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</si>
  <si>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</si>
  <si>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</si>
  <si>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</si>
  <si>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</si>
  <si>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</si>
  <si>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</si>
  <si>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</si>
  <si>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</si>
  <si>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</si>
  <si>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</si>
  <si>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</si>
  <si>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</si>
  <si>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</si>
  <si>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</si>
  <si>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</si>
  <si>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</si>
  <si>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</si>
  <si>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</si>
  <si>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</si>
  <si>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</si>
  <si>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</si>
  <si>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</si>
  <si>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</si>
  <si>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</si>
  <si>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</si>
  <si>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</si>
  <si>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</si>
  <si>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</si>
  <si>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</si>
  <si>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</si>
  <si>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</si>
  <si>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</si>
  <si>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</si>
  <si>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</si>
  <si>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</si>
  <si>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</si>
  <si>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</si>
  <si>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</si>
  <si>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</si>
  <si>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</si>
  <si>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</si>
  <si>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</si>
  <si>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</si>
  <si>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</si>
  <si>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</si>
  <si>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</si>
  <si>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</si>
  <si>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</si>
  <si>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</si>
  <si>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</si>
  <si>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</si>
  <si>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</si>
  <si>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</si>
  <si>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</si>
  <si>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</si>
  <si>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</si>
  <si>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</si>
  <si>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</si>
  <si>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</si>
  <si>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</si>
  <si>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</si>
  <si>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</si>
  <si>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</si>
  <si>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</si>
  <si>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</si>
  <si>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</si>
  <si>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</si>
  <si>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</si>
  <si>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</si>
  <si>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</si>
  <si>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</si>
  <si>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</si>
  <si>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</si>
  <si>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</si>
  <si>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</si>
  <si>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</si>
  <si>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</si>
  <si>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</si>
  <si>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</si>
  <si>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</si>
  <si>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</si>
  <si>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</si>
  <si>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</si>
  <si>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</si>
  <si>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</si>
  <si>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</si>
  <si>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</si>
  <si>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</si>
  <si>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</si>
  <si>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</si>
  <si>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</si>
  <si>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</si>
  <si>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</si>
  <si>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</si>
  <si>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</si>
  <si>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</si>
  <si>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</si>
  <si>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</si>
  <si>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</si>
  <si>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</si>
  <si>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</si>
  <si>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</si>
  <si>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</si>
  <si>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</si>
  <si>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</si>
  <si>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</si>
  <si>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</si>
  <si>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</si>
  <si>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</si>
  <si>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</si>
  <si>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</si>
  <si>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</si>
  <si>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</si>
  <si>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</si>
  <si>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</si>
  <si>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</si>
  <si>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</si>
  <si>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</si>
  <si>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</si>
  <si>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</si>
  <si>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</si>
  <si>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</si>
  <si>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</si>
  <si>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</si>
  <si>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</si>
  <si>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</si>
  <si>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</si>
  <si>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</si>
  <si>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</si>
  <si>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</si>
  <si>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</si>
  <si>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</si>
  <si>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</si>
  <si>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</si>
  <si>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</si>
  <si>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</si>
  <si>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</si>
  <si>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</si>
  <si>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</si>
  <si>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</si>
  <si>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</si>
  <si>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</si>
  <si>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</si>
  <si>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</si>
  <si>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</si>
  <si>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</si>
  <si>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</si>
  <si>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</si>
  <si>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</si>
  <si>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</si>
  <si>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</si>
  <si>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</si>
  <si>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</si>
  <si>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</si>
  <si>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</si>
  <si>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</si>
  <si>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</si>
  <si>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</si>
  <si>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</si>
  <si>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</si>
  <si>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</si>
  <si>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</si>
  <si>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</si>
  <si>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</si>
  <si>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</si>
  <si>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</si>
  <si>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</si>
  <si>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</si>
  <si>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</si>
  <si>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</si>
  <si>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</si>
  <si>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</si>
  <si>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</si>
  <si>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</si>
  <si>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</si>
  <si>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</si>
  <si>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</si>
  <si>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</si>
  <si>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</si>
  <si>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</si>
  <si>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</si>
  <si>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</si>
  <si>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</si>
  <si>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</si>
  <si>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</si>
  <si>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</si>
  <si>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</si>
  <si>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</si>
  <si>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</si>
  <si>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</si>
  <si>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</si>
  <si>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</si>
  <si>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</si>
  <si>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</si>
  <si>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</si>
  <si>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</si>
  <si>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</si>
  <si>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</si>
  <si>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</si>
  <si>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</si>
  <si>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</si>
  <si>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</si>
  <si>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</si>
  <si>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</si>
  <si>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</si>
  <si>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</si>
  <si>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</si>
  <si>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</si>
  <si>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</si>
  <si>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</si>
  <si>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</si>
  <si>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</si>
  <si>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</si>
  <si>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</si>
  <si>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</si>
  <si>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</si>
  <si>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</si>
  <si>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</si>
  <si>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</si>
  <si>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</si>
  <si>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</si>
  <si>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</si>
  <si>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</si>
  <si>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</si>
  <si>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</si>
  <si>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</si>
  <si>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</si>
  <si>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</si>
  <si>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</si>
  <si>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</si>
  <si>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</si>
  <si>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</si>
  <si>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</si>
  <si>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</si>
  <si>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</si>
  <si>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</si>
  <si>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</si>
  <si>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</si>
  <si>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</si>
  <si>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</si>
  <si>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</si>
  <si>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</si>
  <si>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</si>
  <si>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</si>
  <si>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</si>
  <si>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</si>
  <si>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</si>
  <si>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</si>
  <si>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</si>
  <si>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</si>
  <si>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</si>
  <si>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</si>
  <si>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</si>
  <si>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</si>
  <si>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</si>
  <si>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</si>
  <si>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</si>
  <si>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</si>
  <si>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</si>
  <si>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</si>
  <si>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</si>
  <si>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</si>
  <si>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</si>
  <si>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</si>
  <si>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</si>
  <si>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</si>
  <si>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</si>
  <si>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</si>
  <si>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</si>
  <si>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</si>
  <si>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</si>
  <si>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</si>
  <si>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</si>
  <si>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</si>
  <si>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</si>
  <si>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</si>
  <si>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</si>
  <si>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</si>
  <si>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</si>
  <si>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</si>
  <si>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</si>
  <si>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</si>
  <si>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</si>
  <si>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</si>
  <si>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</si>
  <si>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</si>
  <si>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</si>
  <si>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</si>
  <si>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</si>
  <si>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255 Jonh L. Dietsch Boulevard</t>
  </si>
  <si>
    <t>Samantha McCourt</t>
  </si>
  <si>
    <t>Recycled and scrap sources</t>
  </si>
  <si>
    <t>Samantha.McCourt@metalor.com</t>
  </si>
  <si>
    <t>Several</t>
  </si>
  <si>
    <t>Gold(I) potassium cyanide</t>
  </si>
  <si>
    <t>Gold(I) potassium cyanide manufactured and delivered from Metalor USA</t>
  </si>
  <si>
    <t>Precious Metal Sales, Inc.</t>
  </si>
  <si>
    <t>100 New Wood Road, Watertown, CT 06795</t>
  </si>
  <si>
    <t>Krista Upson</t>
  </si>
  <si>
    <t>krista@pmsalesinc.com</t>
  </si>
  <si>
    <t>Anthony Luccaro</t>
  </si>
  <si>
    <t>President</t>
  </si>
  <si>
    <t>here4u@pmsalesinc.com</t>
  </si>
  <si>
    <t>The gold used to manufacture PGC is made with 100% recycled chain of custody gold.</t>
  </si>
  <si>
    <t>We do require, but not validated by a 3rd party. The gold is sourced from a LBMA Good delivery refiner</t>
  </si>
  <si>
    <t>The gold is sourced from a LBMA Good delivery refiner</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</si>
</sst>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5" fillId="36" borderId="65" xfId="502" applyNumberFormat="1" applyFont="1" applyFill="1" applyBorder="1" applyAlignment="1">
      <alignment vertical="center" wrapText="1"/>
    </xf>
    <xf numFmtId="0" fontId="105"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5"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4"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6"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7"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8"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09"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0"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1"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3"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09" fillId="0" borderId="0" xfId="0" applyNumberFormat="1" applyFont="1" applyAlignment="1">
      <alignment horizontal="left" vertical="center" wrapText="1"/>
    </xf>
    <xf numFmtId="9" fontId="117"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0"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7"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8"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7"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3"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1" fillId="0" borderId="0" xfId="527" applyFont="1" applyFill="1" applyAlignment="1">
      <alignment horizontal="left" vertical="center" wrapText="1"/>
    </xf>
    <xf numFmtId="164" fontId="6" fillId="0" borderId="0" xfId="480" applyAlignment="1">
      <alignment vertical="center"/>
    </xf>
    <xf numFmtId="0" fontId="122" fillId="0" borderId="0" xfId="0" applyFont="1" applyAlignment="1">
      <alignment vertical="center" wrapText="1"/>
    </xf>
    <xf numFmtId="0" fontId="55" fillId="0" borderId="0" xfId="0" applyFont="1" applyAlignment="1">
      <alignment vertical="center" wrapText="1"/>
    </xf>
    <xf numFmtId="0" fontId="0" fillId="2" borderId="33" xfId="0" applyFont="1" applyFill="1" applyBorder="1" applyAlignment="1" applyProtection="1">
      <alignment horizontal="left" vertical="center"/>
      <protection locked="0"/>
    </xf>
    <xf numFmtId="0" fontId="0" fillId="0" borderId="65" xfId="0" applyFont="1" applyBorder="1" applyAlignment="1" applyProtection="1">
      <alignment wrapText="1"/>
      <protection locked="0"/>
    </xf>
    <xf numFmtId="0" fontId="0" fillId="2" borderId="33" xfId="0" quotePrefix="1" applyFont="1" applyFill="1" applyBorder="1" applyAlignment="1" applyProtection="1">
      <alignment horizontal="left" vertical="center" wrapText="1"/>
      <protection locked="0"/>
    </xf>
    <xf numFmtId="0" fontId="0" fillId="0" borderId="65" xfId="0" applyFont="1" applyFill="1" applyBorder="1" applyAlignment="1" applyProtection="1">
      <alignment horizontal="left" vertical="center"/>
      <protection locked="0"/>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0" fillId="0" borderId="25" xfId="487" applyFont="1" applyFill="1" applyBorder="1" applyAlignment="1" applyProtection="1">
      <alignment horizontal="left" vertical="center" wrapText="1"/>
    </xf>
    <xf numFmtId="0" fontId="100" fillId="0" borderId="18" xfId="487" applyFont="1" applyFill="1" applyBorder="1" applyAlignment="1" applyProtection="1">
      <alignment horizontal="left" vertical="center" wrapText="1"/>
    </xf>
    <xf numFmtId="0" fontId="100"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left" vertical="center" wrapText="1"/>
      <protection locked="0" hidden="1"/>
    </xf>
    <xf numFmtId="0" fontId="15" fillId="2" borderId="53" xfId="0"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1" fillId="2" borderId="52" xfId="487" applyNumberFormat="1" applyFont="1" applyFill="1" applyBorder="1" applyAlignment="1" applyProtection="1">
      <alignment horizontal="left" vertical="center" wrapText="1"/>
      <protection locked="0"/>
    </xf>
    <xf numFmtId="49" fontId="101" fillId="2" borderId="1" xfId="487" applyNumberFormat="1" applyFont="1" applyFill="1" applyBorder="1" applyAlignment="1" applyProtection="1">
      <alignment horizontal="left" vertical="center" wrapText="1"/>
      <protection locked="0"/>
    </xf>
    <xf numFmtId="49" fontId="101"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02" fillId="0" borderId="66" xfId="0" quotePrefix="1" applyNumberFormat="1" applyFont="1" applyBorder="1" applyAlignment="1" applyProtection="1">
      <alignment horizontal="left" wrapText="1"/>
      <protection locked="0" hidden="1"/>
    </xf>
    <xf numFmtId="0" fontId="102" fillId="0" borderId="67" xfId="0" applyNumberFormat="1" applyFont="1" applyBorder="1" applyAlignment="1" applyProtection="1">
      <alignment horizontal="left" wrapText="1"/>
      <protection locked="0" hidden="1"/>
    </xf>
    <xf numFmtId="0" fontId="102" fillId="0" borderId="68" xfId="0" applyNumberFormat="1" applyFont="1" applyBorder="1" applyAlignment="1" applyProtection="1">
      <alignment horizontal="left" wrapText="1"/>
      <protection locked="0" hidden="1"/>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2" borderId="52" xfId="0" quotePrefix="1" applyFont="1" applyFill="1" applyBorder="1" applyAlignment="1" applyProtection="1">
      <alignment horizontal="left" vertical="center" wrapText="1"/>
      <protection locked="0"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0" xfId="0" applyProtection="1">
      <protection locked="0" hidden="1"/>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6"/>
  <cols>
    <col min="1" max="1" width="0.81640625" style="117" customWidth="1"/>
    <col min="2" max="2" width="6.81640625" style="117" customWidth="1"/>
    <col min="3" max="3" width="8.453125" style="117" customWidth="1"/>
    <col min="4" max="4" width="13" style="214" customWidth="1"/>
    <col min="5" max="5" width="42.36328125" style="117" customWidth="1"/>
    <col min="6" max="6" width="53.36328125" style="117" customWidth="1"/>
    <col min="7" max="7" width="0.81640625" style="117" customWidth="1"/>
    <col min="8" max="16384" width="9" style="117"/>
  </cols>
  <sheetData>
    <row r="1" spans="1:7" ht="13.2" thickTop="1">
      <c r="A1" s="9"/>
      <c r="B1" s="10"/>
      <c r="C1" s="10"/>
      <c r="D1" s="206"/>
      <c r="E1" s="10"/>
      <c r="F1" s="10"/>
      <c r="G1" s="11"/>
    </row>
    <row r="2" spans="1:7">
      <c r="A2" s="357"/>
      <c r="B2" s="38" t="s">
        <v>963</v>
      </c>
      <c r="C2" s="36"/>
      <c r="D2" s="207"/>
      <c r="E2" s="3"/>
      <c r="F2" s="36"/>
      <c r="G2" s="34"/>
    </row>
    <row r="3" spans="1:7">
      <c r="A3" s="357"/>
      <c r="B3" s="5" t="s">
        <v>952</v>
      </c>
      <c r="C3" s="6"/>
      <c r="D3" s="208"/>
      <c r="E3" s="3"/>
      <c r="F3" s="6"/>
      <c r="G3" s="34"/>
    </row>
    <row r="4" spans="1:7" ht="15">
      <c r="A4" s="357"/>
      <c r="B4" s="41" t="s">
        <v>965</v>
      </c>
      <c r="C4" s="7"/>
      <c r="D4" s="209"/>
      <c r="E4" s="3"/>
      <c r="F4" s="7"/>
      <c r="G4" s="34"/>
    </row>
    <row r="5" spans="1:7" ht="13.2">
      <c r="A5" s="357"/>
      <c r="B5" s="40" t="s">
        <v>1157</v>
      </c>
      <c r="C5" s="4"/>
      <c r="D5" s="210"/>
      <c r="E5" s="3"/>
      <c r="F5" s="4"/>
      <c r="G5" s="34"/>
    </row>
    <row r="6" spans="1:7">
      <c r="A6" s="357"/>
      <c r="B6" s="8"/>
      <c r="C6" s="8"/>
      <c r="D6" s="211"/>
      <c r="E6" s="8"/>
      <c r="F6" s="8"/>
      <c r="G6" s="34"/>
    </row>
    <row r="7" spans="1:7">
      <c r="A7" s="357"/>
      <c r="B7" s="8"/>
      <c r="C7" s="8"/>
      <c r="D7" s="211"/>
      <c r="E7" s="8"/>
      <c r="F7" s="8"/>
      <c r="G7" s="34"/>
    </row>
    <row r="8" spans="1:7">
      <c r="A8" s="357"/>
      <c r="B8" s="8"/>
      <c r="C8" s="8"/>
      <c r="D8" s="211"/>
      <c r="E8" s="8"/>
      <c r="F8" s="8"/>
      <c r="G8" s="34"/>
    </row>
    <row r="9" spans="1:7">
      <c r="A9" s="357"/>
      <c r="B9" s="360" t="s">
        <v>966</v>
      </c>
      <c r="C9" s="360"/>
      <c r="D9" s="360"/>
      <c r="E9" s="360"/>
      <c r="F9" s="360"/>
      <c r="G9" s="34"/>
    </row>
    <row r="10" spans="1:7" ht="27" customHeight="1">
      <c r="A10" s="357"/>
      <c r="B10" s="361" t="s">
        <v>506</v>
      </c>
      <c r="C10" s="361"/>
      <c r="D10" s="361"/>
      <c r="E10" s="361"/>
      <c r="F10" s="361"/>
      <c r="G10" s="34"/>
    </row>
    <row r="11" spans="1:7" ht="27" customHeight="1">
      <c r="A11" s="357"/>
      <c r="B11" s="362"/>
      <c r="C11" s="362"/>
      <c r="D11" s="362"/>
      <c r="E11" s="362"/>
      <c r="F11" s="362"/>
      <c r="G11" s="34"/>
    </row>
    <row r="12" spans="1:7">
      <c r="A12" s="357"/>
      <c r="B12" s="42" t="s">
        <v>964</v>
      </c>
      <c r="C12" s="43" t="s">
        <v>967</v>
      </c>
      <c r="D12" s="212" t="s">
        <v>968</v>
      </c>
      <c r="E12" s="43" t="s">
        <v>701</v>
      </c>
      <c r="F12" s="43" t="s">
        <v>702</v>
      </c>
      <c r="G12" s="34"/>
    </row>
    <row r="13" spans="1:7" ht="20.399999999999999">
      <c r="A13" s="357"/>
      <c r="B13" s="2">
        <v>1</v>
      </c>
      <c r="C13" s="37" t="s">
        <v>1208</v>
      </c>
      <c r="D13" s="39" t="s">
        <v>992</v>
      </c>
      <c r="E13" s="196" t="s">
        <v>969</v>
      </c>
      <c r="F13" s="196"/>
      <c r="G13" s="34"/>
    </row>
    <row r="14" spans="1:7" ht="30.6">
      <c r="A14" s="357"/>
      <c r="B14" s="2">
        <v>2</v>
      </c>
      <c r="C14" s="37" t="s">
        <v>1208</v>
      </c>
      <c r="D14" s="39" t="s">
        <v>1142</v>
      </c>
      <c r="E14" s="196" t="s">
        <v>602</v>
      </c>
      <c r="F14" s="196" t="s">
        <v>603</v>
      </c>
      <c r="G14" s="34"/>
    </row>
    <row r="15" spans="1:7" ht="89.1" customHeight="1">
      <c r="A15" s="357"/>
      <c r="B15" s="363">
        <v>2.0099999999999998</v>
      </c>
      <c r="C15" s="354" t="s">
        <v>1208</v>
      </c>
      <c r="D15" s="366" t="s">
        <v>2686</v>
      </c>
      <c r="E15" s="197" t="s">
        <v>703</v>
      </c>
      <c r="F15" s="197" t="s">
        <v>706</v>
      </c>
      <c r="G15" s="34"/>
    </row>
    <row r="16" spans="1:7" ht="99" customHeight="1">
      <c r="A16" s="357"/>
      <c r="B16" s="364"/>
      <c r="C16" s="355"/>
      <c r="D16" s="367"/>
      <c r="E16" s="198"/>
      <c r="F16" s="198" t="s">
        <v>704</v>
      </c>
      <c r="G16" s="34"/>
    </row>
    <row r="17" spans="1:7" ht="63" customHeight="1">
      <c r="A17" s="357"/>
      <c r="B17" s="365"/>
      <c r="C17" s="356"/>
      <c r="D17" s="368"/>
      <c r="E17" s="37"/>
      <c r="F17" s="37" t="s">
        <v>705</v>
      </c>
      <c r="G17" s="34"/>
    </row>
    <row r="18" spans="1:7" ht="117" customHeight="1">
      <c r="A18" s="357"/>
      <c r="B18" s="363">
        <v>2.02</v>
      </c>
      <c r="C18" s="354" t="s">
        <v>1208</v>
      </c>
      <c r="D18" s="366" t="s">
        <v>2687</v>
      </c>
      <c r="E18" s="197" t="s">
        <v>507</v>
      </c>
      <c r="F18" s="197" t="s">
        <v>596</v>
      </c>
      <c r="G18" s="34"/>
    </row>
    <row r="19" spans="1:7" ht="71.099999999999994" customHeight="1">
      <c r="A19" s="357"/>
      <c r="B19" s="364"/>
      <c r="C19" s="355"/>
      <c r="D19" s="367"/>
      <c r="E19" s="198" t="s">
        <v>601</v>
      </c>
      <c r="F19" s="198" t="s">
        <v>508</v>
      </c>
      <c r="G19" s="34"/>
    </row>
    <row r="20" spans="1:7" ht="90.75" customHeight="1">
      <c r="A20" s="357"/>
      <c r="B20" s="364"/>
      <c r="C20" s="355"/>
      <c r="D20" s="367"/>
      <c r="E20" s="198"/>
      <c r="F20" s="198" t="s">
        <v>708</v>
      </c>
      <c r="G20" s="34"/>
    </row>
    <row r="21" spans="1:7" ht="74.25" customHeight="1">
      <c r="A21" s="357"/>
      <c r="B21" s="365"/>
      <c r="C21" s="356"/>
      <c r="D21" s="368"/>
      <c r="E21" s="37"/>
      <c r="F21" s="37" t="s">
        <v>707</v>
      </c>
      <c r="G21" s="34"/>
    </row>
    <row r="22" spans="1:7" ht="90" customHeight="1">
      <c r="A22" s="357"/>
      <c r="B22" s="372">
        <v>2.0299999999999998</v>
      </c>
      <c r="C22" s="372" t="s">
        <v>935</v>
      </c>
      <c r="D22" s="351" t="s">
        <v>2688</v>
      </c>
      <c r="E22" s="354" t="s">
        <v>505</v>
      </c>
      <c r="F22" s="197" t="s">
        <v>529</v>
      </c>
      <c r="G22" s="34"/>
    </row>
    <row r="23" spans="1:7" ht="109.5" customHeight="1">
      <c r="A23" s="357"/>
      <c r="B23" s="373"/>
      <c r="C23" s="373"/>
      <c r="D23" s="352"/>
      <c r="E23" s="355"/>
      <c r="F23" s="198" t="s">
        <v>936</v>
      </c>
      <c r="G23" s="34"/>
    </row>
    <row r="24" spans="1:7" ht="74.25" customHeight="1">
      <c r="A24" s="357"/>
      <c r="B24" s="374"/>
      <c r="C24" s="374"/>
      <c r="D24" s="353"/>
      <c r="E24" s="356"/>
      <c r="F24" s="37" t="s">
        <v>504</v>
      </c>
      <c r="G24" s="34"/>
    </row>
    <row r="25" spans="1:7" ht="72" customHeight="1">
      <c r="A25" s="357"/>
      <c r="B25" s="2" t="s">
        <v>527</v>
      </c>
      <c r="C25" s="37" t="s">
        <v>528</v>
      </c>
      <c r="D25" s="39" t="s">
        <v>2689</v>
      </c>
      <c r="E25" s="37" t="s">
        <v>2682</v>
      </c>
      <c r="F25" s="37" t="s">
        <v>530</v>
      </c>
      <c r="G25" s="34"/>
    </row>
    <row r="26" spans="1:7" ht="98.1" customHeight="1">
      <c r="A26" s="357"/>
      <c r="B26" s="369">
        <v>3</v>
      </c>
      <c r="C26" s="363" t="s">
        <v>74</v>
      </c>
      <c r="D26" s="366" t="s">
        <v>2690</v>
      </c>
      <c r="E26" s="354" t="s">
        <v>0</v>
      </c>
      <c r="F26" s="197" t="s">
        <v>68</v>
      </c>
      <c r="G26" s="34"/>
    </row>
    <row r="27" spans="1:7" ht="90" customHeight="1">
      <c r="A27" s="357"/>
      <c r="B27" s="370"/>
      <c r="C27" s="364"/>
      <c r="D27" s="367"/>
      <c r="E27" s="355"/>
      <c r="F27" s="198" t="s">
        <v>63</v>
      </c>
      <c r="G27" s="34"/>
    </row>
    <row r="28" spans="1:7" ht="19.350000000000001" customHeight="1">
      <c r="A28" s="357"/>
      <c r="B28" s="370"/>
      <c r="C28" s="364"/>
      <c r="D28" s="367"/>
      <c r="E28" s="355"/>
      <c r="F28" s="198" t="s">
        <v>64</v>
      </c>
      <c r="G28" s="34"/>
    </row>
    <row r="29" spans="1:7" ht="74.55" customHeight="1">
      <c r="A29" s="357"/>
      <c r="B29" s="370"/>
      <c r="C29" s="364"/>
      <c r="D29" s="367"/>
      <c r="E29" s="355"/>
      <c r="F29" s="198" t="s">
        <v>65</v>
      </c>
      <c r="G29" s="34"/>
    </row>
    <row r="30" spans="1:7" ht="62.55" customHeight="1">
      <c r="A30" s="357"/>
      <c r="B30" s="370"/>
      <c r="C30" s="364"/>
      <c r="D30" s="367"/>
      <c r="E30" s="355"/>
      <c r="F30" s="198" t="s">
        <v>66</v>
      </c>
      <c r="G30" s="34"/>
    </row>
    <row r="31" spans="1:7" ht="81" customHeight="1">
      <c r="A31" s="357"/>
      <c r="B31" s="370"/>
      <c r="C31" s="364"/>
      <c r="D31" s="367"/>
      <c r="E31" s="355"/>
      <c r="F31" s="198" t="s">
        <v>67</v>
      </c>
      <c r="G31" s="34"/>
    </row>
    <row r="32" spans="1:7" ht="48.75" customHeight="1">
      <c r="A32" s="357"/>
      <c r="B32" s="370"/>
      <c r="C32" s="364"/>
      <c r="D32" s="367"/>
      <c r="E32" s="355"/>
      <c r="F32" s="198" t="s">
        <v>70</v>
      </c>
      <c r="G32" s="34"/>
    </row>
    <row r="33" spans="1:7" ht="98.55" customHeight="1">
      <c r="A33" s="357"/>
      <c r="B33" s="370"/>
      <c r="C33" s="364"/>
      <c r="D33" s="367"/>
      <c r="E33" s="355"/>
      <c r="F33" s="198" t="s">
        <v>69</v>
      </c>
      <c r="G33" s="34"/>
    </row>
    <row r="34" spans="1:7" ht="89.1" customHeight="1">
      <c r="A34" s="357"/>
      <c r="B34" s="370"/>
      <c r="C34" s="364"/>
      <c r="D34" s="367"/>
      <c r="E34" s="355"/>
      <c r="F34" s="198" t="s">
        <v>71</v>
      </c>
      <c r="G34" s="34"/>
    </row>
    <row r="35" spans="1:7" ht="29.1" customHeight="1">
      <c r="A35" s="357"/>
      <c r="B35" s="370"/>
      <c r="C35" s="364"/>
      <c r="D35" s="367"/>
      <c r="E35" s="355"/>
      <c r="F35" s="198" t="s">
        <v>72</v>
      </c>
      <c r="G35" s="34"/>
    </row>
    <row r="36" spans="1:7" ht="112.2">
      <c r="A36" s="357"/>
      <c r="B36" s="371"/>
      <c r="C36" s="365"/>
      <c r="D36" s="368"/>
      <c r="E36" s="356"/>
      <c r="F36" s="199" t="s">
        <v>73</v>
      </c>
      <c r="G36" s="34"/>
    </row>
    <row r="37" spans="1:7" ht="102">
      <c r="A37" s="357"/>
      <c r="B37" s="175">
        <v>3.01</v>
      </c>
      <c r="C37" s="176" t="s">
        <v>74</v>
      </c>
      <c r="D37" s="39" t="s">
        <v>2691</v>
      </c>
      <c r="E37" s="200" t="s">
        <v>1458</v>
      </c>
      <c r="F37" s="201" t="s">
        <v>1577</v>
      </c>
      <c r="G37" s="34"/>
    </row>
    <row r="38" spans="1:7" ht="81.599999999999994">
      <c r="A38" s="357"/>
      <c r="B38" s="175">
        <v>3.02</v>
      </c>
      <c r="C38" s="176" t="s">
        <v>1492</v>
      </c>
      <c r="D38" s="39" t="s">
        <v>2692</v>
      </c>
      <c r="E38" s="200" t="s">
        <v>1507</v>
      </c>
      <c r="F38" s="201" t="s">
        <v>1578</v>
      </c>
      <c r="G38" s="34"/>
    </row>
    <row r="39" spans="1:7" ht="81.599999999999994">
      <c r="A39" s="357"/>
      <c r="B39" s="184">
        <v>4</v>
      </c>
      <c r="C39" s="183" t="s">
        <v>1757</v>
      </c>
      <c r="D39" s="39" t="s">
        <v>2693</v>
      </c>
      <c r="E39" s="37" t="s">
        <v>2625</v>
      </c>
      <c r="F39" s="37" t="s">
        <v>1758</v>
      </c>
      <c r="G39" s="34"/>
    </row>
    <row r="40" spans="1:7" ht="40.799999999999997">
      <c r="A40" s="357"/>
      <c r="B40" s="175">
        <v>4.01</v>
      </c>
      <c r="C40" s="183" t="s">
        <v>1757</v>
      </c>
      <c r="D40" s="39" t="s">
        <v>2695</v>
      </c>
      <c r="E40" s="37" t="s">
        <v>2644</v>
      </c>
      <c r="F40" s="37" t="s">
        <v>2649</v>
      </c>
      <c r="G40" s="34"/>
    </row>
    <row r="41" spans="1:7" ht="40.799999999999997">
      <c r="A41" s="357"/>
      <c r="B41" s="175" t="s">
        <v>2680</v>
      </c>
      <c r="C41" s="183" t="s">
        <v>1757</v>
      </c>
      <c r="D41" s="39" t="s">
        <v>2694</v>
      </c>
      <c r="E41" s="37" t="s">
        <v>2683</v>
      </c>
      <c r="F41" s="37" t="s">
        <v>2681</v>
      </c>
      <c r="G41" s="34"/>
    </row>
    <row r="42" spans="1:7" ht="40.799999999999997">
      <c r="A42" s="357"/>
      <c r="B42" s="175" t="s">
        <v>2732</v>
      </c>
      <c r="C42" s="183" t="s">
        <v>1757</v>
      </c>
      <c r="D42" s="39" t="s">
        <v>2903</v>
      </c>
      <c r="E42" s="37" t="s">
        <v>2682</v>
      </c>
      <c r="F42" s="37" t="s">
        <v>2733</v>
      </c>
      <c r="G42" s="34"/>
    </row>
    <row r="43" spans="1:7" ht="112.2">
      <c r="A43" s="357"/>
      <c r="B43" s="193">
        <v>4.0999999999999996</v>
      </c>
      <c r="C43" s="183" t="s">
        <v>2902</v>
      </c>
      <c r="D43" s="194">
        <v>42867</v>
      </c>
      <c r="E43" s="202" t="s">
        <v>2905</v>
      </c>
      <c r="F43" s="37" t="s">
        <v>2904</v>
      </c>
      <c r="G43" s="34"/>
    </row>
    <row r="44" spans="1:7" ht="71.400000000000006">
      <c r="A44" s="357"/>
      <c r="B44" s="193">
        <v>4.2</v>
      </c>
      <c r="C44" s="183" t="s">
        <v>2902</v>
      </c>
      <c r="D44" s="194">
        <v>42704</v>
      </c>
      <c r="E44" s="202" t="s">
        <v>3155</v>
      </c>
      <c r="F44" s="37" t="s">
        <v>3120</v>
      </c>
      <c r="G44" s="34"/>
    </row>
    <row r="45" spans="1:7" ht="132.6">
      <c r="A45" s="357"/>
      <c r="B45" s="241">
        <v>5</v>
      </c>
      <c r="C45" s="183" t="s">
        <v>2902</v>
      </c>
      <c r="D45" s="194">
        <v>42867</v>
      </c>
      <c r="E45" s="202" t="s">
        <v>13730</v>
      </c>
      <c r="F45" s="37" t="s">
        <v>13315</v>
      </c>
      <c r="G45" s="34"/>
    </row>
    <row r="46" spans="1:7" ht="30.6">
      <c r="A46" s="357"/>
      <c r="B46" s="193">
        <v>5.01</v>
      </c>
      <c r="C46" s="183" t="s">
        <v>2902</v>
      </c>
      <c r="D46" s="194">
        <v>42907</v>
      </c>
      <c r="E46" s="202" t="s">
        <v>13786</v>
      </c>
      <c r="F46" s="37" t="s">
        <v>13315</v>
      </c>
      <c r="G46" s="34"/>
    </row>
    <row r="47" spans="1:7" ht="61.2">
      <c r="A47" s="357"/>
      <c r="B47" s="193">
        <v>5.0999999999999996</v>
      </c>
      <c r="C47" s="183" t="s">
        <v>2902</v>
      </c>
      <c r="D47" s="194">
        <v>43070</v>
      </c>
      <c r="E47" s="202" t="s">
        <v>13985</v>
      </c>
      <c r="F47" s="37" t="s">
        <v>13986</v>
      </c>
      <c r="G47" s="34"/>
    </row>
    <row r="48" spans="1:7" ht="51">
      <c r="A48" s="357"/>
      <c r="B48" s="193">
        <v>5.1100000000000003</v>
      </c>
      <c r="C48" s="183" t="s">
        <v>14260</v>
      </c>
      <c r="D48" s="194">
        <v>43217</v>
      </c>
      <c r="E48" s="202" t="s">
        <v>14404</v>
      </c>
      <c r="F48" s="37" t="s">
        <v>14299</v>
      </c>
      <c r="G48" s="34"/>
    </row>
    <row r="49" spans="1:7" ht="51">
      <c r="A49" s="357"/>
      <c r="B49" s="193">
        <v>5.12</v>
      </c>
      <c r="C49" s="183" t="s">
        <v>14260</v>
      </c>
      <c r="D49" s="194">
        <v>43581</v>
      </c>
      <c r="E49" s="202" t="s">
        <v>14404</v>
      </c>
      <c r="F49" s="37" t="s">
        <v>15467</v>
      </c>
      <c r="G49" s="34"/>
    </row>
    <row r="50" spans="1:7" ht="13.2" thickBot="1">
      <c r="A50" s="358"/>
      <c r="B50" s="359" t="str">
        <f ca="1">OFFSET(L!$C$1,MATCH("General"&amp;"Cpy",L!$A:$A,0)-1,SL,,)</f>
        <v>© 2019 Responsible Minerals Initiative. All rights reserved.</v>
      </c>
      <c r="C50" s="359"/>
      <c r="D50" s="359"/>
      <c r="E50" s="359"/>
      <c r="F50" s="359"/>
      <c r="G50" s="35"/>
    </row>
    <row r="51" spans="1:7" ht="13.2"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1640625" defaultRowHeight="12.6"/>
  <cols>
    <col min="1" max="1" width="20.453125" style="79" customWidth="1"/>
    <col min="2" max="2" width="57.1796875" style="79" customWidth="1"/>
    <col min="3" max="16384" width="8.8164062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1640625" defaultRowHeight="12.6"/>
  <cols>
    <col min="1" max="1" width="11.08984375" customWidth="1"/>
    <col min="2" max="2" width="25.7265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70" zoomScaleNormal="70" zoomScalePageLayoutView="60" workbookViewId="0">
      <selection activeCell="A3" sqref="A3"/>
    </sheetView>
  </sheetViews>
  <sheetFormatPr defaultColWidth="8.81640625" defaultRowHeight="12.6"/>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2.4">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62">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6.2">
      <c r="A5" s="129"/>
      <c r="B5" s="118"/>
    </row>
    <row r="6" spans="1:2" ht="32.4">
      <c r="A6" s="128" t="str">
        <f ca="1">OFFSET(L!$C$1,MATCH("Instructions"&amp;ADDRESS(ROW(),COLUMN(),4),L!$A:$A,0)-1,SL,,)</f>
        <v>Instructions for completing Company Information questions (rows 8 - 22).
Provide comments in ENGLISH only</v>
      </c>
      <c r="B6" s="118" t="s">
        <v>1434</v>
      </c>
    </row>
    <row r="7" spans="1:2" ht="16.2">
      <c r="A7" s="125" t="str">
        <f ca="1">OFFSET(L!$C$1,MATCH("Instructions"&amp;ADDRESS(ROW(),COLUMN(),4),L!$A:$A,0)-1,SL,,)</f>
        <v xml:space="preserve">Note:  Entries with (*) are mandatory fields. </v>
      </c>
      <c r="B7" s="118"/>
    </row>
    <row r="8" spans="1:2" ht="32.4">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2.4">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2.4">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6.2">
      <c r="A15" s="125" t="str">
        <f ca="1">OFFSET(L!$C$1,MATCH("Instructions"&amp;ADDRESS(ROW(),COLUMN(),4),L!$A:$A,0)-1,SL,,)</f>
        <v>8. Insert the telephone number for the contact. This field is mandatory.</v>
      </c>
      <c r="B15" s="118"/>
    </row>
    <row r="16" spans="1:2" ht="48.6">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6.2">
      <c r="A17" s="125" t="str">
        <f ca="1">OFFSET(L!$C$1,MATCH("Instructions"&amp;ADDRESS(ROW(),COLUMN(),4),L!$A:$A,0)-1,SL,,)</f>
        <v>10. Insert the title for the Authorizing person. This field is optional.</v>
      </c>
      <c r="B17" s="118"/>
    </row>
    <row r="18" spans="1:2" ht="32.4">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6.2">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2.4">
      <c r="A21" s="125" t="str">
        <f ca="1">OFFSET(L!$C$1,MATCH("Instructions"&amp;ADDRESS(ROW(),COLUMN(),4),L!$A:$A,0)-1,SL,,)</f>
        <v xml:space="preserve">14. As an example, the user may save the file name as:  companyname-date.xls (date as YYYY-MM-DD).  </v>
      </c>
      <c r="B21" s="118" t="s">
        <v>1434</v>
      </c>
    </row>
    <row r="22" spans="1:2" ht="16.2">
      <c r="A22" s="129"/>
      <c r="B22" s="118"/>
    </row>
    <row r="23" spans="1:2" ht="32.4">
      <c r="A23" s="128" t="str">
        <f ca="1">OFFSET(L!$C$1,MATCH("Instructions"&amp;ADDRESS(ROW(),COLUMN(),4),L!$A:$A,0)-1,SL,,)</f>
        <v>Instructions for completing the seven Due Diligence Questions (rows 24 - 65).
Provide answers in ENGLISH only</v>
      </c>
      <c r="B23" s="118" t="s">
        <v>1434</v>
      </c>
    </row>
    <row r="24" spans="1:2" ht="64.8">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4.8">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2.4">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45.80000000000001">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94.4">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81">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4.8">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6.2">
      <c r="A34" s="125" t="str">
        <f ca="1">OFFSET(L!$C$1,MATCH("Instructions"&amp;ADDRESS(ROW(),COLUMN(),4),L!$A:$A,0)-1,SL,,)</f>
        <v>Provide comments in the Comment sections as required to clarify your responses.</v>
      </c>
      <c r="B34" s="118"/>
    </row>
    <row r="35" spans="1:2" ht="16.2">
      <c r="A35" s="129"/>
      <c r="B35" s="118"/>
    </row>
    <row r="36" spans="1:2" ht="48.6">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45.80000000000001">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4.8">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4.8">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81">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4.8">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78.2">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62">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45.80000000000001">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4.8">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8.6">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6.2">
      <c r="A47" s="129"/>
      <c r="B47" s="118"/>
    </row>
    <row r="48" spans="1:2" ht="32.4">
      <c r="A48" s="128" t="str">
        <f ca="1">OFFSET(L!$C$1,MATCH("Instructions"&amp;ADDRESS(ROW(),COLUMN(),4),L!$A:$A,0)-1,SL,,)</f>
        <v>Note:  Columns with (*) are mandatory fields</v>
      </c>
      <c r="B48" s="118" t="s">
        <v>1434</v>
      </c>
    </row>
    <row r="49" spans="1:2" ht="48.6">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4.8">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2.4">
      <c r="A51" s="125" t="str">
        <f ca="1">OFFSET(L!$C$1,MATCH("Instructions"&amp;ADDRESS(ROW(),COLUMN(),4),L!$A:$A,0)-1,SL,,)</f>
        <v>2. Metal (*)   -   Use the pull down menu to select the metal for which you are entering smelter information.  This field is mandatory.</v>
      </c>
      <c r="B51" s="118" t="s">
        <v>1434</v>
      </c>
    </row>
    <row r="52" spans="1:2" ht="64.8">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2.4">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4.8">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81">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4.8">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4.8">
      <c r="A57" s="125" t="str">
        <f ca="1">OFFSET(L!$C$1,MATCH("Instructions"&amp;ADDRESS(ROW(),COLUMN(),4),L!$A:$A,0)-1,SL,,)</f>
        <v>8. Smelter Street -  Provide the street name on which the smelter is located. This field is optional.</v>
      </c>
      <c r="B57" s="118" t="s">
        <v>1433</v>
      </c>
    </row>
    <row r="58" spans="1:2" ht="64.8">
      <c r="A58" s="125" t="str">
        <f ca="1">OFFSET(L!$C$1,MATCH("Instructions"&amp;ADDRESS(ROW(),COLUMN(),4),L!$A:$A,0)-1,SL,,)</f>
        <v>9. Smelter City – Provide the city name of where the smelter is located. This field is optional.</v>
      </c>
      <c r="B58" s="118" t="s">
        <v>1433</v>
      </c>
    </row>
    <row r="59" spans="1:2" ht="32.4">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8.6">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81">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7.2">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7.2">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2.4">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6.2">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6.2">
      <c r="A69" s="130"/>
      <c r="B69" s="118"/>
    </row>
    <row r="70" spans="1:2" ht="64.8">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78.2">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7.2">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81">
      <c r="A73" s="125" t="str">
        <f ca="1">OFFSET(L!$C$1,MATCH("Instructions"&amp;ADDRESS(ROW(),COLUMN(),4),L!$A:$A,0)-1,SL,,)</f>
        <v xml:space="preserve">By accessing and using the List or any Tool, and in consideration thereof, the User agrees to the foregoing. </v>
      </c>
      <c r="B73" s="118" t="s">
        <v>1439</v>
      </c>
    </row>
    <row r="74" spans="1:2" ht="32.4">
      <c r="A74" s="125"/>
      <c r="B74" s="118" t="s">
        <v>509</v>
      </c>
    </row>
    <row r="75" spans="1:2" ht="16.2">
      <c r="A75" s="125" t="str">
        <f ca="1">OFFSET(L!$C$1,MATCH("General"&amp;"Cpy",L!$A:$A,0)-1,SL,,)</f>
        <v>© 2019 Responsible Minerals Initiative. All rights reserved.</v>
      </c>
      <c r="B75" s="119"/>
    </row>
    <row r="76" spans="1:2" ht="16.2">
      <c r="A76" s="126" t="s">
        <v>1152</v>
      </c>
      <c r="B76" s="119"/>
    </row>
    <row r="77" spans="1:2" ht="16.2">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B31" sqref="B31:C31"/>
    </sheetView>
  </sheetViews>
  <sheetFormatPr defaultColWidth="8.81640625" defaultRowHeight="12.6"/>
  <cols>
    <col min="1" max="1" width="1.6328125" style="117" customWidth="1"/>
    <col min="2" max="2" width="35.453125" style="117" customWidth="1"/>
    <col min="3" max="3" width="105.453125" style="117" customWidth="1"/>
    <col min="4" max="5" width="1.6328125" style="117" customWidth="1"/>
    <col min="6" max="6" width="4.453125" style="117" customWidth="1"/>
    <col min="7" max="7" width="4.81640625" style="117" customWidth="1"/>
    <col min="8" max="16384" width="8.81640625" style="117"/>
  </cols>
  <sheetData>
    <row r="1" spans="1:5" ht="13.2" thickTop="1">
      <c r="A1" s="375"/>
      <c r="B1" s="376"/>
      <c r="C1" s="376"/>
      <c r="D1" s="377"/>
    </row>
    <row r="2" spans="1:5" ht="71.25" customHeight="1">
      <c r="A2" s="90"/>
      <c r="B2" s="171" t="str">
        <f ca="1">OFFSET(L!$C$1,MATCH("Definitions"&amp;ADDRESS(ROW(),COLUMN(),4),L!$A:$A,0)-1,SL,,)</f>
        <v>ITEM</v>
      </c>
      <c r="C2" s="171" t="str">
        <f ca="1">OFFSET(L!$C$1,MATCH("Definitions"&amp;ADDRESS(ROW(),COLUMN(),4),L!$A:$A,0)-1,SL,,)</f>
        <v>DEFINITION</v>
      </c>
      <c r="D2" s="379"/>
      <c r="E2" s="131"/>
    </row>
    <row r="3" spans="1:5" ht="64.05" customHeight="1">
      <c r="A3" s="90"/>
      <c r="B3" s="77" t="str">
        <f ca="1">OFFSET(L!$C$1,MATCH("Definitions"&amp;ADDRESS(ROW(),COLUMN(),4),L!$A:$A,0)-1,SL,,)</f>
        <v>3TG</v>
      </c>
      <c r="C3" s="77" t="str">
        <f ca="1">OFFSET(L!$C$1,MATCH("Definitions"&amp;ADDRESS(ROW(),COLUMN(),4),L!$A:$A,0)-1,SL,,)</f>
        <v>Tantalum, tin, tungsten, gold</v>
      </c>
      <c r="D3" s="379"/>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9"/>
      <c r="E4" s="132"/>
    </row>
    <row r="5" spans="1:5" ht="113.4">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9"/>
      <c r="E5" s="132" t="s">
        <v>1443</v>
      </c>
    </row>
    <row r="6" spans="1:5" ht="64.8">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9"/>
      <c r="E6" s="132" t="s">
        <v>1443</v>
      </c>
    </row>
    <row r="7" spans="1:5" ht="145.80000000000001">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9"/>
      <c r="E7" s="132" t="s">
        <v>1446</v>
      </c>
    </row>
    <row r="8" spans="1:5" ht="64.8">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9"/>
      <c r="E8" s="132" t="s">
        <v>1443</v>
      </c>
    </row>
    <row r="9" spans="1:5" ht="48.6">
      <c r="A9" s="90"/>
      <c r="B9" s="77" t="str">
        <f ca="1">OFFSET(L!$C$1,MATCH("Definitions"&amp;ADDRESS(ROW(),COLUMN(),4),L!$A:$A,0)-1,SL,,)</f>
        <v>DRC</v>
      </c>
      <c r="C9" s="77" t="str">
        <f ca="1">OFFSET(L!$C$1,MATCH("Definitions"&amp;ADDRESS(ROW(),COLUMN(),4),L!$A:$A,0)-1,SL,,)</f>
        <v>Democratic Republic of Congo</v>
      </c>
      <c r="D9" s="379"/>
      <c r="E9" s="132" t="s">
        <v>1442</v>
      </c>
    </row>
    <row r="10" spans="1:5" ht="64.8">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9"/>
      <c r="E10" s="132" t="s">
        <v>1442</v>
      </c>
    </row>
    <row r="11" spans="1:5" ht="64.8">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9"/>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9"/>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9"/>
      <c r="E13" s="132" t="s">
        <v>1442</v>
      </c>
    </row>
    <row r="14" spans="1:5" ht="129.6">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9"/>
      <c r="E14" s="132" t="s">
        <v>1442</v>
      </c>
    </row>
    <row r="15" spans="1:5" ht="64.8">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9"/>
      <c r="E15" s="132" t="s">
        <v>1442</v>
      </c>
    </row>
    <row r="16" spans="1:5" ht="194.4">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9"/>
      <c r="E16" s="132" t="s">
        <v>1442</v>
      </c>
    </row>
    <row r="17" spans="1:5" ht="162">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9"/>
      <c r="E17" s="132" t="s">
        <v>1442</v>
      </c>
    </row>
    <row r="18" spans="1:5" ht="16.2">
      <c r="A18" s="90"/>
      <c r="B18" s="77" t="str">
        <f ca="1">OFFSET(L!$C$1,MATCH("Definitions"&amp;ADDRESS(ROW(),COLUMN(),4),L!$A:$A,0)-1,SL,,)</f>
        <v>OECD</v>
      </c>
      <c r="C18" s="77" t="str">
        <f ca="1">OFFSET(L!$C$1,MATCH("Definitions"&amp;ADDRESS(ROW(),COLUMN(),4),L!$A:$A,0)-1,SL,,)</f>
        <v>Organisation for Economic Co-operation and Development</v>
      </c>
      <c r="D18" s="379"/>
      <c r="E18" s="132"/>
    </row>
    <row r="19" spans="1:5" ht="32.4">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9"/>
      <c r="E19" s="132"/>
    </row>
    <row r="20" spans="1:5" ht="16.2">
      <c r="A20" s="90"/>
      <c r="B20" s="77" t="str">
        <f ca="1">OFFSET(L!$C$1,MATCH("Definitions"&amp;ADDRESS(ROW(),COLUMN(),4),L!$A:$A,0)-1,SL,,)</f>
        <v>RBA</v>
      </c>
      <c r="C20" s="77" t="str">
        <f ca="1">OFFSET(L!$C$1,MATCH("Definitions"&amp;ADDRESS(ROW(),COLUMN(),4),L!$A:$A,0)-1,SL,,)</f>
        <v>Responsible Business Alliance (www.responsiblebusiness.org)</v>
      </c>
      <c r="D20" s="379"/>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9"/>
      <c r="E21" s="132"/>
    </row>
    <row r="22" spans="1:5" ht="64.8">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9"/>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9"/>
      <c r="E23" s="132"/>
    </row>
    <row r="24" spans="1:5" ht="145.80000000000001">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9"/>
      <c r="E24" s="132" t="s">
        <v>1442</v>
      </c>
    </row>
    <row r="25" spans="1:5" ht="81">
      <c r="A25" s="90"/>
      <c r="B25" s="77" t="str">
        <f ca="1">OFFSET(L!$C$1,MATCH("Definitions"&amp;ADDRESS(ROW(),COLUMN(),4),L!$A:$A,0)-1,SL,,)</f>
        <v>SEC</v>
      </c>
      <c r="C25" s="77" t="str">
        <f ca="1">OFFSET(L!$C$1,MATCH("Definitions"&amp;ADDRESS(ROW(),COLUMN(),4),L!$A:$A,0)-1,SL,,)</f>
        <v>U.S. Securities and Exchange Commission (www.sec.gov)</v>
      </c>
      <c r="D25" s="379"/>
      <c r="E25" s="132" t="s">
        <v>1444</v>
      </c>
    </row>
    <row r="26" spans="1:5" ht="64.8">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9"/>
      <c r="E26" s="132" t="s">
        <v>1442</v>
      </c>
    </row>
    <row r="27" spans="1:5" ht="64.8">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9"/>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9"/>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9"/>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9"/>
      <c r="E30" s="132"/>
    </row>
    <row r="31" spans="1:5" ht="16.2">
      <c r="A31" s="90"/>
      <c r="B31" s="378" t="str">
        <f ca="1">OFFSET(L!$C$1,MATCH("General"&amp;"Cpy",L!$A:$A,0)-1,SL,,)</f>
        <v>© 2019 Responsible Minerals Initiative. All rights reserved.</v>
      </c>
      <c r="C31" s="378"/>
      <c r="D31" s="379"/>
      <c r="E31" s="132"/>
    </row>
    <row r="32" spans="1:5" ht="13.2" thickBot="1">
      <c r="A32" s="91"/>
      <c r="B32" s="187"/>
      <c r="C32" s="187"/>
      <c r="D32" s="380"/>
    </row>
    <row r="33" ht="13.2"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opLeftCell="A79" zoomScale="80" zoomScaleNormal="80" zoomScalePageLayoutView="70" workbookViewId="0">
      <selection activeCell="G83" sqref="G83:J8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7" hidden="1" customWidth="1"/>
    <col min="13" max="15" width="4.81640625" style="117" hidden="1" customWidth="1"/>
    <col min="16" max="23" width="9.1796875" hidden="1" customWidth="1"/>
    <col min="24" max="24" width="9.1796875" customWidth="1"/>
  </cols>
  <sheetData>
    <row r="1" spans="1:34" ht="16.8" thickTop="1">
      <c r="A1" s="412"/>
      <c r="B1" s="413"/>
      <c r="C1" s="413"/>
      <c r="D1" s="413"/>
      <c r="E1" s="413"/>
      <c r="F1" s="413"/>
      <c r="G1" s="413"/>
      <c r="H1" s="413"/>
      <c r="I1" s="413"/>
      <c r="J1" s="413"/>
      <c r="K1" s="414"/>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5" t="str">
        <f ca="1">OFFSET(L!$C$1,MATCH("Declaration"&amp;ADDRESS(ROW(),COLUMN(),4),L!$A:$A,0)-1,SL,,)</f>
        <v>Conflict Minerals Reporting Template (CMRT)</v>
      </c>
      <c r="E2" s="416"/>
      <c r="F2" s="416"/>
      <c r="G2" s="416"/>
      <c r="H2" s="416"/>
      <c r="I2" s="416"/>
      <c r="J2" s="417"/>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5"/>
      <c r="G3" s="425"/>
      <c r="H3" s="425"/>
      <c r="I3" s="186"/>
      <c r="J3" s="172" t="s">
        <v>15472</v>
      </c>
      <c r="K3" s="47"/>
      <c r="L3" s="143"/>
      <c r="M3" s="134"/>
      <c r="N3" s="134"/>
      <c r="O3" s="135"/>
      <c r="P3" s="148">
        <f>MATCH($D$3,LN,0)</f>
        <v>1</v>
      </c>
    </row>
    <row r="4" spans="1:34" ht="16.2">
      <c r="A4" s="45"/>
      <c r="B4" s="421" t="str">
        <f ca="1">OFFSET(L!$C$1,MATCH("Declaration"&amp;ADDRESS(ROW(),COLUMN(),4),L!$A:$A,0)-1,SL,,)</f>
        <v>The purpose of this document is to collect sourcing information on tin, tantalum, tungsten and gold used in products</v>
      </c>
      <c r="C4" s="421"/>
      <c r="D4" s="421"/>
      <c r="E4" s="421"/>
      <c r="F4" s="421"/>
      <c r="G4" s="421"/>
      <c r="H4" s="421"/>
      <c r="I4" s="426" t="str">
        <f ca="1">OFFSET(L!$C$1,MATCH("Declaration"&amp;ADDRESS(ROW(),COLUMN(),4),L!$A:$A,0)-1,SL,,)</f>
        <v>Link to Terms &amp; Conditions</v>
      </c>
      <c r="J4" s="426"/>
      <c r="K4" s="47"/>
      <c r="L4" s="145"/>
      <c r="M4" s="134"/>
      <c r="N4" s="134"/>
      <c r="O4" s="135"/>
      <c r="P4" s="12"/>
      <c r="Q4" s="12"/>
      <c r="R4" s="12"/>
      <c r="S4" s="12"/>
      <c r="T4" s="12"/>
      <c r="U4" s="12"/>
      <c r="V4" s="12"/>
      <c r="W4" s="12"/>
      <c r="X4" s="12"/>
      <c r="Y4" s="12"/>
      <c r="Z4" s="12"/>
      <c r="AA4" s="12"/>
      <c r="AB4" s="12"/>
      <c r="AC4" s="12"/>
      <c r="AD4" s="12"/>
      <c r="AE4" s="12"/>
      <c r="AF4" s="12"/>
      <c r="AG4" s="12"/>
      <c r="AH4" s="12"/>
    </row>
    <row r="5" spans="1:34" ht="16.2">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2.4">
      <c r="A6" s="45"/>
      <c r="B6" s="421" t="str">
        <f ca="1">OFFSET(L!$C$1,MATCH("Declaration"&amp;ADDRESS(ROW(),COLUMN(),4),L!$A:$A,0)-1,SL,,)</f>
        <v>Mandatory fields are noted with an asterisk (*).  Consult the instructions tab for guidance on how to answer each question.</v>
      </c>
      <c r="C6" s="421"/>
      <c r="D6" s="421"/>
      <c r="E6" s="421"/>
      <c r="F6" s="421"/>
      <c r="G6" s="421"/>
      <c r="H6" s="421"/>
      <c r="I6" s="421"/>
      <c r="J6" s="421"/>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6.2">
      <c r="A7" s="45"/>
      <c r="B7" s="430" t="str">
        <f ca="1">OFFSET(L!$C$1,MATCH("Declaration"&amp;ADDRESS(ROW(),COLUMN(),4),L!$A:$A,0)-1,SL,,)</f>
        <v>Company Information</v>
      </c>
      <c r="C7" s="430"/>
      <c r="D7" s="430"/>
      <c r="E7" s="430"/>
      <c r="F7" s="430"/>
      <c r="G7" s="430"/>
      <c r="H7" s="430"/>
      <c r="I7" s="430"/>
      <c r="J7" s="430"/>
      <c r="K7" s="47"/>
      <c r="L7" s="145"/>
      <c r="M7" s="134"/>
      <c r="N7" s="134"/>
      <c r="O7" s="135"/>
      <c r="P7" s="12"/>
      <c r="Q7" s="12"/>
      <c r="R7" s="12"/>
      <c r="S7" s="12"/>
      <c r="T7" s="12"/>
      <c r="U7" s="12"/>
      <c r="V7" s="12"/>
      <c r="W7" s="12"/>
      <c r="X7" s="12"/>
      <c r="Y7" s="12"/>
      <c r="Z7" s="12"/>
      <c r="AA7" s="12"/>
      <c r="AB7" s="12"/>
      <c r="AC7" s="12"/>
      <c r="AD7" s="12"/>
      <c r="AE7" s="12"/>
      <c r="AF7" s="12"/>
      <c r="AG7" s="12"/>
      <c r="AH7" s="12"/>
    </row>
    <row r="8" spans="1:34" ht="16.2">
      <c r="A8" s="49"/>
      <c r="B8" s="89" t="str">
        <f ca="1">OFFSET(L!$C$1,MATCH("Declaration"&amp;ADDRESS(ROW(),COLUMN(),4),L!$A:$A,0)-1,SL,,)</f>
        <v>Company Name (*):</v>
      </c>
      <c r="C8" s="92"/>
      <c r="D8" s="418" t="s">
        <v>15501</v>
      </c>
      <c r="E8" s="419"/>
      <c r="F8" s="419"/>
      <c r="G8" s="419"/>
      <c r="H8" s="419"/>
      <c r="I8" s="419"/>
      <c r="J8" s="420"/>
      <c r="K8" s="50"/>
      <c r="L8" s="145"/>
      <c r="M8" s="134"/>
      <c r="N8" s="134"/>
      <c r="O8" s="135"/>
      <c r="P8" s="12"/>
      <c r="Q8" s="12"/>
      <c r="R8" s="12"/>
      <c r="S8" s="12"/>
      <c r="T8" s="12"/>
      <c r="U8" s="12"/>
      <c r="V8" s="12"/>
      <c r="W8" s="12"/>
      <c r="X8" s="12"/>
      <c r="Y8" s="12"/>
      <c r="Z8" s="12"/>
      <c r="AA8" s="12"/>
      <c r="AB8" s="12"/>
      <c r="AC8" s="12"/>
      <c r="AD8" s="12"/>
      <c r="AE8" s="12"/>
      <c r="AF8" s="12"/>
      <c r="AG8" s="12"/>
      <c r="AH8" s="12"/>
    </row>
    <row r="9" spans="1:34" ht="16.2">
      <c r="A9" s="49"/>
      <c r="B9" s="89" t="str">
        <f ca="1">OFFSET(L!$C$1,MATCH("Declaration"&amp;ADDRESS(ROW(),COLUMN(),4),L!$A:$A,0)-1,SL,,)</f>
        <v>Declaration Scope or Class (*):</v>
      </c>
      <c r="C9" s="92"/>
      <c r="D9" s="427" t="s">
        <v>564</v>
      </c>
      <c r="E9" s="428"/>
      <c r="F9" s="428"/>
      <c r="G9" s="429"/>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49999999999997" customHeight="1">
      <c r="A10" s="49"/>
      <c r="B10" s="431" t="str">
        <f ca="1">OFFSET(L!$C$1,MATCH("Declaration"&amp;ADDRESS(ROW(),COLUMN(),4)&amp;LEFT($D$9,1),L!$A:$A,0)-1,SL,,)</f>
        <v>Description of Scope:</v>
      </c>
      <c r="C10" s="155"/>
      <c r="D10" s="422"/>
      <c r="E10" s="423"/>
      <c r="F10" s="423"/>
      <c r="G10" s="423"/>
      <c r="H10" s="423"/>
      <c r="I10" s="423"/>
      <c r="J10" s="424"/>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6.2">
      <c r="A11" s="49"/>
      <c r="B11" s="432"/>
      <c r="C11" s="155"/>
      <c r="D11" s="396" t="str">
        <f ca="1">IF(D9=Q9,OFFSET(L!$C$1,MATCH("Declaration"&amp;ADDRESS(ROW(),COLUMN(),4),L!$A:$A,0)-1,SL,,),"")</f>
        <v/>
      </c>
      <c r="E11" s="397"/>
      <c r="F11" s="397"/>
      <c r="G11" s="397"/>
      <c r="H11" s="397"/>
      <c r="I11" s="397"/>
      <c r="J11" s="398"/>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3"/>
      <c r="D12" s="405"/>
      <c r="E12" s="406"/>
      <c r="F12" s="406"/>
      <c r="G12" s="406"/>
      <c r="H12" s="406"/>
      <c r="I12" s="406"/>
      <c r="J12" s="407"/>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3"/>
      <c r="D13" s="405"/>
      <c r="E13" s="406"/>
      <c r="F13" s="406"/>
      <c r="G13" s="406"/>
      <c r="H13" s="406"/>
      <c r="I13" s="406"/>
      <c r="J13" s="407"/>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3"/>
      <c r="D14" s="408" t="s">
        <v>15502</v>
      </c>
      <c r="E14" s="409"/>
      <c r="F14" s="409"/>
      <c r="G14" s="409"/>
      <c r="H14" s="409"/>
      <c r="I14" s="409"/>
      <c r="J14" s="410"/>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3"/>
      <c r="D15" s="408" t="s">
        <v>15503</v>
      </c>
      <c r="E15" s="409"/>
      <c r="F15" s="409"/>
      <c r="G15" s="409"/>
      <c r="H15" s="409"/>
      <c r="I15" s="409"/>
      <c r="J15" s="410"/>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3"/>
      <c r="D16" s="452" t="s">
        <v>15504</v>
      </c>
      <c r="E16" s="452"/>
      <c r="F16" s="452"/>
      <c r="G16" s="452"/>
      <c r="H16" s="452"/>
      <c r="I16" s="452"/>
      <c r="J16" s="452"/>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3"/>
      <c r="D17" s="439">
        <v>8602748813</v>
      </c>
      <c r="E17" s="409"/>
      <c r="F17" s="409"/>
      <c r="G17" s="409"/>
      <c r="H17" s="409"/>
      <c r="I17" s="409"/>
      <c r="J17" s="410"/>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3"/>
      <c r="D18" s="408" t="s">
        <v>15505</v>
      </c>
      <c r="E18" s="409"/>
      <c r="F18" s="409"/>
      <c r="G18" s="409"/>
      <c r="H18" s="409"/>
      <c r="I18" s="409"/>
      <c r="J18" s="410"/>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3"/>
      <c r="D19" s="408" t="s">
        <v>15506</v>
      </c>
      <c r="E19" s="409"/>
      <c r="F19" s="409"/>
      <c r="G19" s="409"/>
      <c r="H19" s="409"/>
      <c r="I19" s="409"/>
      <c r="J19" s="410"/>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3"/>
      <c r="D20" s="452" t="s">
        <v>15507</v>
      </c>
      <c r="E20" s="452"/>
      <c r="F20" s="452"/>
      <c r="G20" s="452"/>
      <c r="H20" s="452"/>
      <c r="I20" s="452"/>
      <c r="J20" s="452"/>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 (*):</v>
      </c>
      <c r="C21" s="167"/>
      <c r="D21" s="433">
        <v>8602748813</v>
      </c>
      <c r="E21" s="434"/>
      <c r="F21" s="434"/>
      <c r="G21" s="434"/>
      <c r="H21" s="434"/>
      <c r="I21" s="434"/>
      <c r="J21" s="435"/>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4"/>
      <c r="D22" s="436">
        <v>43587</v>
      </c>
      <c r="E22" s="437"/>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399999999999999">
      <c r="A23" s="52"/>
      <c r="B23" s="95"/>
      <c r="C23" s="20"/>
      <c r="D23" s="411"/>
      <c r="E23" s="411"/>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6.2">
      <c r="A24" s="53"/>
      <c r="B24" s="438" t="str">
        <f ca="1">OFFSET(L!$C$1,MATCH("Declaration"&amp;ADDRESS(ROW(),COLUMN(),4),L!$A:$A,0)-1,SL,,)</f>
        <v>Answer the following questions 1 - 7 based on the declaration scope indicated above</v>
      </c>
      <c r="C24" s="438"/>
      <c r="D24" s="438"/>
      <c r="E24" s="438"/>
      <c r="F24" s="438"/>
      <c r="G24" s="438"/>
      <c r="H24" s="438"/>
      <c r="I24" s="438"/>
      <c r="J24" s="438"/>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395" t="str">
        <f ca="1">OFFSET(L!$C$1,MATCH("Declaration"&amp;ADDRESS(ROW(),COLUMN(),4),L!$A:$A,0)-1,SL,,)</f>
        <v>Answer</v>
      </c>
      <c r="E25" s="395"/>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81" t="s">
        <v>559</v>
      </c>
      <c r="E26" s="382"/>
      <c r="F26" s="15"/>
      <c r="G26" s="383"/>
      <c r="H26" s="384"/>
      <c r="I26" s="384"/>
      <c r="J26" s="385"/>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 xml:space="preserve">Tin  </v>
      </c>
      <c r="C27" s="46"/>
      <c r="D27" s="381" t="s">
        <v>559</v>
      </c>
      <c r="E27" s="382"/>
      <c r="F27" s="15"/>
      <c r="G27" s="383"/>
      <c r="H27" s="384"/>
      <c r="I27" s="384"/>
      <c r="J27" s="385"/>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81" t="s">
        <v>558</v>
      </c>
      <c r="E28" s="382"/>
      <c r="F28" s="15"/>
      <c r="G28" s="383"/>
      <c r="H28" s="384"/>
      <c r="I28" s="384"/>
      <c r="J28" s="385"/>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81" t="s">
        <v>559</v>
      </c>
      <c r="E29" s="382"/>
      <c r="F29" s="15"/>
      <c r="G29" s="383"/>
      <c r="H29" s="384"/>
      <c r="I29" s="384"/>
      <c r="J29" s="385"/>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401" t="str">
        <f ca="1">D25</f>
        <v>Answer</v>
      </c>
      <c r="E31" s="401"/>
      <c r="F31" s="21"/>
      <c r="G31" s="55" t="str">
        <f ca="1">G25</f>
        <v>Comments</v>
      </c>
      <c r="H31" s="55"/>
      <c r="I31" s="55"/>
      <c r="J31" s="99"/>
      <c r="K31" s="47"/>
      <c r="L31" s="140" t="s">
        <v>1369</v>
      </c>
      <c r="M31" s="134"/>
      <c r="N31" s="134"/>
      <c r="O31" s="135"/>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99"/>
      <c r="E32" s="400"/>
      <c r="F32" s="58"/>
      <c r="G32" s="383"/>
      <c r="H32" s="384"/>
      <c r="I32" s="384"/>
      <c r="J32" s="385"/>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 xml:space="preserve">Tin  </v>
      </c>
      <c r="C33" s="13"/>
      <c r="D33" s="381"/>
      <c r="E33" s="382"/>
      <c r="F33" s="58"/>
      <c r="G33" s="383"/>
      <c r="H33" s="384"/>
      <c r="I33" s="384"/>
      <c r="J33" s="385"/>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81" t="s">
        <v>558</v>
      </c>
      <c r="E34" s="382"/>
      <c r="F34" s="58"/>
      <c r="G34" s="383"/>
      <c r="H34" s="384"/>
      <c r="I34" s="384"/>
      <c r="J34" s="385"/>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81"/>
      <c r="E35" s="382"/>
      <c r="F35" s="58"/>
      <c r="G35" s="383"/>
      <c r="H35" s="384"/>
      <c r="I35" s="384"/>
      <c r="J35" s="385"/>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1" t="str">
        <f ca="1">D25</f>
        <v>Answer</v>
      </c>
      <c r="E37" s="401"/>
      <c r="F37" s="21"/>
      <c r="G37" s="55" t="str">
        <f ca="1">G25</f>
        <v>Comments</v>
      </c>
      <c r="H37" s="404"/>
      <c r="I37" s="404"/>
      <c r="J37" s="404"/>
      <c r="K37" s="47"/>
      <c r="L37" s="140" t="s">
        <v>1369</v>
      </c>
      <c r="M37" s="134"/>
      <c r="N37" s="134"/>
      <c r="O37" s="135"/>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81"/>
      <c r="E38" s="382"/>
      <c r="F38" s="58"/>
      <c r="G38" s="383"/>
      <c r="H38" s="384"/>
      <c r="I38" s="384"/>
      <c r="J38" s="385"/>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 xml:space="preserve">Tin  </v>
      </c>
      <c r="C39" s="13"/>
      <c r="D39" s="381"/>
      <c r="E39" s="382"/>
      <c r="F39" s="58"/>
      <c r="G39" s="383"/>
      <c r="H39" s="384"/>
      <c r="I39" s="384"/>
      <c r="J39" s="385"/>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81" t="s">
        <v>559</v>
      </c>
      <c r="E40" s="382"/>
      <c r="F40" s="58"/>
      <c r="G40" s="383"/>
      <c r="H40" s="384"/>
      <c r="I40" s="384"/>
      <c r="J40" s="385"/>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81"/>
      <c r="E41" s="382"/>
      <c r="F41" s="58"/>
      <c r="G41" s="383"/>
      <c r="H41" s="384"/>
      <c r="I41" s="384"/>
      <c r="J41" s="385"/>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01" t="str">
        <f ca="1">D25</f>
        <v>Answer</v>
      </c>
      <c r="E43" s="401"/>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2">
      <c r="A44" s="52"/>
      <c r="B44" s="51" t="str">
        <f ca="1">B38</f>
        <v xml:space="preserve">Tantalum  </v>
      </c>
      <c r="C44" s="13"/>
      <c r="D44" s="381"/>
      <c r="E44" s="382"/>
      <c r="F44" s="58"/>
      <c r="G44" s="383"/>
      <c r="H44" s="384"/>
      <c r="I44" s="384"/>
      <c r="J44" s="385"/>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2">
      <c r="A45" s="52"/>
      <c r="B45" s="51" t="str">
        <f ca="1">B39</f>
        <v xml:space="preserve">Tin  </v>
      </c>
      <c r="C45" s="13"/>
      <c r="D45" s="381"/>
      <c r="E45" s="382"/>
      <c r="F45" s="58"/>
      <c r="G45" s="383"/>
      <c r="H45" s="384"/>
      <c r="I45" s="384"/>
      <c r="J45" s="385"/>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2">
      <c r="A46" s="52"/>
      <c r="B46" s="51" t="str">
        <f ca="1">B40</f>
        <v>Gold  (*)</v>
      </c>
      <c r="C46" s="13"/>
      <c r="D46" s="381" t="s">
        <v>559</v>
      </c>
      <c r="E46" s="382"/>
      <c r="F46" s="58"/>
      <c r="G46" s="383" t="s">
        <v>15508</v>
      </c>
      <c r="H46" s="384"/>
      <c r="I46" s="384"/>
      <c r="J46" s="385"/>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2">
      <c r="A47" s="52"/>
      <c r="B47" s="51" t="str">
        <f ca="1">B41</f>
        <v xml:space="preserve">Tungsten  </v>
      </c>
      <c r="C47" s="13"/>
      <c r="D47" s="381"/>
      <c r="E47" s="382"/>
      <c r="F47" s="58"/>
      <c r="G47" s="383"/>
      <c r="H47" s="384"/>
      <c r="I47" s="384"/>
      <c r="J47" s="385"/>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399999999999999">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5" customHeight="1">
      <c r="A49" s="52"/>
      <c r="B49" s="165" t="str">
        <f ca="1">OFFSET(L!$C$1,MATCH("Declaration"&amp;ADDRESS(ROW(),COLUMN(),4),L!$A:$A,0)-1,SL,,)&amp;Q$37</f>
        <v>5) What percentage of relevant suppliers have provided a response to your supply chain survey?  (*)</v>
      </c>
      <c r="C49" s="13"/>
      <c r="D49" s="401" t="str">
        <f ca="1">D25</f>
        <v>Answer</v>
      </c>
      <c r="E49" s="401"/>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46"/>
      <c r="D50" s="402"/>
      <c r="E50" s="403"/>
      <c r="F50" s="58"/>
      <c r="G50" s="383"/>
      <c r="H50" s="384"/>
      <c r="I50" s="384"/>
      <c r="J50" s="385"/>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 xml:space="preserve">Tin  </v>
      </c>
      <c r="C51" s="46"/>
      <c r="D51" s="402"/>
      <c r="E51" s="403"/>
      <c r="F51" s="58"/>
      <c r="G51" s="383"/>
      <c r="H51" s="384"/>
      <c r="I51" s="384"/>
      <c r="J51" s="385"/>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46"/>
      <c r="D52" s="402">
        <v>1</v>
      </c>
      <c r="E52" s="403"/>
      <c r="F52" s="58"/>
      <c r="G52" s="383"/>
      <c r="H52" s="384"/>
      <c r="I52" s="384"/>
      <c r="J52" s="385"/>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46"/>
      <c r="D53" s="402"/>
      <c r="E53" s="403"/>
      <c r="F53" s="58"/>
      <c r="G53" s="383"/>
      <c r="H53" s="384"/>
      <c r="I53" s="384"/>
      <c r="J53" s="385"/>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6.2">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8.6">
      <c r="A55" s="52"/>
      <c r="B55" s="165" t="str">
        <f ca="1">OFFSET(L!$C$1,MATCH("Declaration"&amp;ADDRESS(ROW(),COLUMN(),4),L!$A:$A,0)-1,SL,,)&amp;Q$37</f>
        <v>6) Have you identified all of the smelters supplying the 3TG to your supply chain?  (*)</v>
      </c>
      <c r="C55" s="13"/>
      <c r="D55" s="401" t="str">
        <f ca="1">D25</f>
        <v>Answer</v>
      </c>
      <c r="E55" s="401"/>
      <c r="F55" s="21"/>
      <c r="G55" s="55" t="str">
        <f ca="1">G25</f>
        <v>Comments</v>
      </c>
      <c r="H55" s="394"/>
      <c r="I55" s="394"/>
      <c r="J55" s="394"/>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13"/>
      <c r="D56" s="399"/>
      <c r="E56" s="400"/>
      <c r="F56" s="58"/>
      <c r="G56" s="383"/>
      <c r="H56" s="384"/>
      <c r="I56" s="384"/>
      <c r="J56" s="385"/>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 xml:space="preserve">Tin  </v>
      </c>
      <c r="C57" s="13"/>
      <c r="D57" s="381"/>
      <c r="E57" s="382"/>
      <c r="F57" s="58"/>
      <c r="G57" s="383"/>
      <c r="H57" s="384"/>
      <c r="I57" s="384"/>
      <c r="J57" s="385"/>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13"/>
      <c r="D58" s="381" t="s">
        <v>558</v>
      </c>
      <c r="E58" s="382"/>
      <c r="F58" s="58"/>
      <c r="G58" s="383"/>
      <c r="H58" s="384"/>
      <c r="I58" s="384"/>
      <c r="J58" s="385"/>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13"/>
      <c r="D59" s="381"/>
      <c r="E59" s="382"/>
      <c r="F59" s="58"/>
      <c r="G59" s="383"/>
      <c r="H59" s="384"/>
      <c r="I59" s="384"/>
      <c r="J59" s="385"/>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6.2">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8.6">
      <c r="A61" s="52"/>
      <c r="B61" s="55" t="str">
        <f ca="1">OFFSET(L!$C$1,MATCH("Declaration"&amp;ADDRESS(ROW(),COLUMN(),4),L!$A:$A,0)-1,SL,,)&amp;Q$37</f>
        <v>7) Has all applicable smelter information received by your company been reported in this declaration?  (*)</v>
      </c>
      <c r="C61" s="13"/>
      <c r="D61" s="401" t="str">
        <f ca="1">D25</f>
        <v>Answer</v>
      </c>
      <c r="E61" s="401"/>
      <c r="F61" s="21"/>
      <c r="G61" s="55" t="str">
        <f ca="1">G25</f>
        <v>Comments</v>
      </c>
      <c r="H61" s="394" t="str">
        <f>IF(Q69="(*)","Click here to enter smelter names","")</f>
        <v/>
      </c>
      <c r="I61" s="394"/>
      <c r="J61" s="394"/>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46"/>
      <c r="D62" s="381"/>
      <c r="E62" s="382"/>
      <c r="F62" s="59"/>
      <c r="G62" s="383"/>
      <c r="H62" s="384"/>
      <c r="I62" s="384"/>
      <c r="J62" s="385"/>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 xml:space="preserve">Tin  </v>
      </c>
      <c r="C63" s="46"/>
      <c r="D63" s="381"/>
      <c r="E63" s="382"/>
      <c r="F63" s="59"/>
      <c r="G63" s="383"/>
      <c r="H63" s="384"/>
      <c r="I63" s="384"/>
      <c r="J63" s="385"/>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46"/>
      <c r="D64" s="381" t="s">
        <v>558</v>
      </c>
      <c r="E64" s="382"/>
      <c r="F64" s="59"/>
      <c r="G64" s="383"/>
      <c r="H64" s="384"/>
      <c r="I64" s="384"/>
      <c r="J64" s="385"/>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2">
      <c r="A65" s="49"/>
      <c r="B65" s="51" t="str">
        <f ca="1">B41</f>
        <v xml:space="preserve">Tungsten  </v>
      </c>
      <c r="C65" s="60"/>
      <c r="D65" s="381"/>
      <c r="E65" s="382"/>
      <c r="F65" s="61"/>
      <c r="G65" s="383"/>
      <c r="H65" s="384"/>
      <c r="I65" s="384"/>
      <c r="J65" s="385"/>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6.2">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6.2">
      <c r="A67" s="52"/>
      <c r="B67" s="386" t="str">
        <f ca="1">OFFSET(L!$C$1,MATCH("Declaration"&amp;ADDRESS(ROW(),COLUMN(),4),L!$A:$A,0)-1,SL,,)</f>
        <v>Answer the Following Questions at a Company Level</v>
      </c>
      <c r="C67" s="386"/>
      <c r="D67" s="386"/>
      <c r="E67" s="386"/>
      <c r="F67" s="386"/>
      <c r="G67" s="386"/>
      <c r="H67" s="386"/>
      <c r="I67" s="386"/>
      <c r="J67" s="386"/>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6.2">
      <c r="A68" s="62"/>
      <c r="B68" s="63" t="str">
        <f ca="1">OFFSET(L!$C$1,MATCH("Declaration"&amp;ADDRESS(ROW(),COLUMN(),4),L!$A:$A,0)-1,SL,,)</f>
        <v>Question</v>
      </c>
      <c r="C68" s="97"/>
      <c r="D68" s="395" t="str">
        <f ca="1">D25</f>
        <v>Answer</v>
      </c>
      <c r="E68" s="395"/>
      <c r="F68" s="64"/>
      <c r="G68" s="395" t="str">
        <f ca="1">G25</f>
        <v>Comments</v>
      </c>
      <c r="H68" s="395" t="e">
        <f>HLOOKUP(SL,LT,$O68,0)</f>
        <v>#NAME?</v>
      </c>
      <c r="I68" s="395"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2.4">
      <c r="A69" s="52"/>
      <c r="B69" s="67" t="str">
        <f ca="1">OFFSET(L!$C$1,MATCH("Declaration"&amp;ADDRESS(ROW(),COLUMN(),4),L!$A:$A,0)-1,SL,,)&amp;$Q$37</f>
        <v>A. Have you established a conflict minerals sourcing policy? (*)</v>
      </c>
      <c r="C69" s="68"/>
      <c r="D69" s="381" t="s">
        <v>558</v>
      </c>
      <c r="E69" s="382"/>
      <c r="F69" s="68"/>
      <c r="G69" s="383"/>
      <c r="H69" s="384"/>
      <c r="I69" s="384"/>
      <c r="J69" s="385"/>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6.2">
      <c r="A70" s="52"/>
      <c r="B70" s="69"/>
      <c r="C70" s="15"/>
      <c r="D70" s="1"/>
      <c r="E70" s="1"/>
      <c r="F70" s="15"/>
      <c r="G70" s="392"/>
      <c r="H70" s="392"/>
      <c r="I70" s="392"/>
      <c r="J70" s="392"/>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81" t="s">
        <v>559</v>
      </c>
      <c r="E71" s="382"/>
      <c r="F71" s="68"/>
      <c r="G71" s="383"/>
      <c r="H71" s="384"/>
      <c r="I71" s="384"/>
      <c r="J71" s="385"/>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6.2">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1" t="s">
        <v>558</v>
      </c>
      <c r="E73" s="382"/>
      <c r="F73" s="68"/>
      <c r="G73" s="383"/>
      <c r="H73" s="384"/>
      <c r="I73" s="384"/>
      <c r="J73" s="385"/>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6.2">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1" t="s">
        <v>559</v>
      </c>
      <c r="E75" s="382"/>
      <c r="F75" s="68"/>
      <c r="G75" s="383" t="s">
        <v>15509</v>
      </c>
      <c r="H75" s="384"/>
      <c r="I75" s="384"/>
      <c r="J75" s="385"/>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6.2">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1" t="s">
        <v>558</v>
      </c>
      <c r="E77" s="382"/>
      <c r="F77" s="68"/>
      <c r="G77" s="383"/>
      <c r="H77" s="384"/>
      <c r="I77" s="384"/>
      <c r="J77" s="385"/>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6.2">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90" t="s">
        <v>13311</v>
      </c>
      <c r="E79" s="391"/>
      <c r="F79" s="68"/>
      <c r="G79" s="383" t="s">
        <v>15510</v>
      </c>
      <c r="H79" s="384"/>
      <c r="I79" s="384"/>
      <c r="J79" s="385"/>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6.2">
      <c r="A80" s="52"/>
      <c r="B80" s="72"/>
      <c r="C80" s="15"/>
      <c r="D80" s="1"/>
      <c r="E80" s="1"/>
      <c r="F80" s="16"/>
      <c r="G80" s="392"/>
      <c r="H80" s="392"/>
      <c r="I80" s="392"/>
      <c r="J80" s="392"/>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81" t="s">
        <v>558</v>
      </c>
      <c r="E81" s="382"/>
      <c r="F81" s="68"/>
      <c r="G81" s="383"/>
      <c r="H81" s="384"/>
      <c r="I81" s="384"/>
      <c r="J81" s="385"/>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6.2">
      <c r="A82" s="52"/>
      <c r="B82" s="69"/>
      <c r="C82" s="15"/>
      <c r="D82" s="1"/>
      <c r="E82" s="1"/>
      <c r="F82" s="16"/>
      <c r="G82" s="393"/>
      <c r="H82" s="393"/>
      <c r="I82" s="393"/>
      <c r="J82" s="393"/>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2.4">
      <c r="A83" s="52"/>
      <c r="B83" s="67" t="str">
        <f ca="1">OFFSET(L!$C$1,MATCH("Declaration"&amp;ADDRESS(ROW(),COLUMN(),4),L!$A:$A,0)-1,SL,,)&amp;$Q$37</f>
        <v>H. Does your review process include corrective action management? (*)</v>
      </c>
      <c r="C83" s="68"/>
      <c r="D83" s="381" t="s">
        <v>558</v>
      </c>
      <c r="E83" s="382"/>
      <c r="F83" s="68"/>
      <c r="G83" s="383"/>
      <c r="H83" s="384"/>
      <c r="I83" s="384"/>
      <c r="J83" s="385"/>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6.2">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2.4">
      <c r="A85" s="52"/>
      <c r="B85" s="67" t="str">
        <f ca="1">OFFSET(L!$C$1,MATCH("Declaration"&amp;ADDRESS(ROW(),COLUMN(),4),L!$A:$A,0)-1,SL,,)&amp;$Q$37</f>
        <v>I. Is your company required to file an annual conflict minerals disclosure with the SEC? (*)</v>
      </c>
      <c r="C85" s="68"/>
      <c r="D85" s="381" t="s">
        <v>559</v>
      </c>
      <c r="E85" s="382"/>
      <c r="F85" s="68"/>
      <c r="G85" s="383"/>
      <c r="H85" s="384"/>
      <c r="I85" s="384"/>
      <c r="J85" s="385"/>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6.2">
      <c r="A86" s="52"/>
      <c r="B86" s="389" t="str">
        <f>IF(OR($D$8="",$I$3=""),"","Click here to check required fields completion")</f>
        <v/>
      </c>
      <c r="C86" s="389"/>
      <c r="D86" s="389"/>
      <c r="E86" s="389"/>
      <c r="F86" s="389"/>
      <c r="G86" s="389"/>
      <c r="H86" s="389"/>
      <c r="I86" s="389"/>
      <c r="J86" s="389"/>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6.8" thickBot="1">
      <c r="A87" s="387" t="str">
        <f ca="1">OFFSET(L!$C$1,MATCH("General"&amp;"Cpy",L!$A:$A,0)-1,SL,,)</f>
        <v>© 2019 Responsible Minerals Initiative. All rights reserved.</v>
      </c>
      <c r="B87" s="388"/>
      <c r="C87" s="388"/>
      <c r="D87" s="388"/>
      <c r="E87" s="388"/>
      <c r="F87" s="388"/>
      <c r="G87" s="388"/>
      <c r="H87" s="388"/>
      <c r="I87" s="388"/>
      <c r="J87" s="388"/>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6.8"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4" priority="64" stopIfTrue="1">
      <formula>AND(OR($D$26="No",AND($D$26="Yes",$D$32="No")),OR($D$27="No",AND($D$27="Yes",$D$33="No")), OR($D$28="No",AND($D$28="Yes",$D$34="No")), OR($D$29="No",AND($D$29="Yes",$D$35="No")))</formula>
    </cfRule>
    <cfRule type="expression" dxfId="83" priority="65" stopIfTrue="1">
      <formula>IF(D69="",TRUE)</formula>
    </cfRule>
  </conditionalFormatting>
  <conditionalFormatting sqref="D9:G9">
    <cfRule type="expression" dxfId="82" priority="131" stopIfTrue="1">
      <formula>IF($D$9="",TRUE)</formula>
    </cfRule>
  </conditionalFormatting>
  <conditionalFormatting sqref="D22:E22">
    <cfRule type="expression" dxfId="81" priority="138" stopIfTrue="1">
      <formula>IF($D$22="",TRUE)</formula>
    </cfRule>
  </conditionalFormatting>
  <conditionalFormatting sqref="D10:J10">
    <cfRule type="expression" dxfId="80" priority="35" stopIfTrue="1">
      <formula>IF($D$9=$Q$9,TRUE)</formula>
    </cfRule>
    <cfRule type="expression" dxfId="79" priority="145" stopIfTrue="1">
      <formula>IF(AND($D$10="",$D$9=$R$9),TRUE)</formula>
    </cfRule>
  </conditionalFormatting>
  <conditionalFormatting sqref="D34:E34 D40:E40 D46:E46 D52:E52 D58:E58 D64:E64">
    <cfRule type="expression" dxfId="78" priority="28" stopIfTrue="1">
      <formula>$P$28=""</formula>
    </cfRule>
  </conditionalFormatting>
  <conditionalFormatting sqref="D35:E35 D41:E41 D47:E47 D53:E53 D59:E59 D65:E65">
    <cfRule type="expression" dxfId="77" priority="143" stopIfTrue="1">
      <formula>$P$29=""</formula>
    </cfRule>
  </conditionalFormatting>
  <conditionalFormatting sqref="D32:E32">
    <cfRule type="expression" dxfId="76" priority="121" stopIfTrue="1">
      <formula>$P$26=""</formula>
    </cfRule>
  </conditionalFormatting>
  <conditionalFormatting sqref="D32:E32">
    <cfRule type="expression" dxfId="75" priority="34" stopIfTrue="1">
      <formula>IF(AND(OR($D$26="Yes",$D$26=""),$D$32=""),1,0)</formula>
    </cfRule>
  </conditionalFormatting>
  <conditionalFormatting sqref="D38 D44 D50 D56 D62">
    <cfRule type="expression" dxfId="74" priority="30" stopIfTrue="1">
      <formula>$P$32=""</formula>
    </cfRule>
  </conditionalFormatting>
  <conditionalFormatting sqref="D39:E39 D45 D51 D57 D63">
    <cfRule type="expression" dxfId="73" priority="29" stopIfTrue="1">
      <formula>$P$33=""</formula>
    </cfRule>
  </conditionalFormatting>
  <conditionalFormatting sqref="D40 D46 D52 D58 D64">
    <cfRule type="expression" dxfId="72" priority="19" stopIfTrue="1">
      <formula>$P$34=""</formula>
    </cfRule>
    <cfRule type="expression" dxfId="71" priority="141" stopIfTrue="1">
      <formula>IF(AND(OR($D$28="Yes",$D$28=""),D40=""),1,0)</formula>
    </cfRule>
  </conditionalFormatting>
  <conditionalFormatting sqref="D41 D47 D53 D59 D65">
    <cfRule type="expression" dxfId="70" priority="27" stopIfTrue="1">
      <formula>$P$35=""</formula>
    </cfRule>
  </conditionalFormatting>
  <conditionalFormatting sqref="D38:E38 D44:E44 D50:E50 D56:E56 D62:E62">
    <cfRule type="expression" dxfId="69" priority="32" stopIfTrue="1">
      <formula>$P$26=""</formula>
    </cfRule>
    <cfRule type="expression" dxfId="68" priority="33" stopIfTrue="1">
      <formula>IF(AND(OR($D$26="Yes",$D$26=""),D38=""),1,0)</formula>
    </cfRule>
  </conditionalFormatting>
  <conditionalFormatting sqref="D39:E39 D45:E45 D51:E51 D57:E57 D63:E63">
    <cfRule type="expression" dxfId="67" priority="139" stopIfTrue="1">
      <formula>$P$39=""</formula>
    </cfRule>
    <cfRule type="expression" dxfId="66" priority="140" stopIfTrue="1">
      <formula>IF(AND(OR($D$27="Yes",$D$27=""),D39=""),1,0)</formula>
    </cfRule>
  </conditionalFormatting>
  <conditionalFormatting sqref="D33:E33">
    <cfRule type="expression" dxfId="65" priority="21" stopIfTrue="1">
      <formula>IF(AND(OR($D$27="Yes",$D$27=""),$D$33=""),1,0)</formula>
    </cfRule>
    <cfRule type="expression" dxfId="64" priority="22" stopIfTrue="1">
      <formula>$P$27=""</formula>
    </cfRule>
  </conditionalFormatting>
  <conditionalFormatting sqref="D34:E34">
    <cfRule type="expression" dxfId="63" priority="142" stopIfTrue="1">
      <formula>IF(AND(OR($D$28="Yes",$D$28=""),$D$34=""),1,0)</formula>
    </cfRule>
  </conditionalFormatting>
  <conditionalFormatting sqref="D41:E41 D47:E47 D53:E53 D59:E59 D65:E65">
    <cfRule type="expression" dxfId="62" priority="144" stopIfTrue="1">
      <formula>IF(AND(OR($D$29="Yes",$D$29=""),D41=""),1,0)</formula>
    </cfRule>
  </conditionalFormatting>
  <conditionalFormatting sqref="D35:E35">
    <cfRule type="expression" dxfId="61" priority="18" stopIfTrue="1">
      <formula>IF(AND(OR($D$29="Yes",$D$29=""),$D$35=""),1,0)</formula>
    </cfRule>
  </conditionalFormatting>
  <conditionalFormatting sqref="D8:J8">
    <cfRule type="expression" dxfId="60" priority="13" stopIfTrue="1">
      <formula>IF($D$8="",TRUE)</formula>
    </cfRule>
  </conditionalFormatting>
  <conditionalFormatting sqref="D15:J15">
    <cfRule type="expression" dxfId="59" priority="9" stopIfTrue="1">
      <formula>IF($D$15="",TRUE)</formula>
    </cfRule>
  </conditionalFormatting>
  <conditionalFormatting sqref="D17:J17">
    <cfRule type="expression" dxfId="57" priority="11" stopIfTrue="1">
      <formula>IF($D$17="",TRUE)</formula>
    </cfRule>
  </conditionalFormatting>
  <conditionalFormatting sqref="D18:J18">
    <cfRule type="expression" dxfId="56" priority="12" stopIfTrue="1">
      <formula>IF($D$18="",TRUE)</formula>
    </cfRule>
  </conditionalFormatting>
  <conditionalFormatting sqref="D20:J20">
    <cfRule type="expression" dxfId="55" priority="7" stopIfTrue="1">
      <formula>IF($D$20="",TRUE)</formula>
    </cfRule>
  </conditionalFormatting>
  <conditionalFormatting sqref="D21:J21">
    <cfRule type="expression" dxfId="54" priority="8" stopIfTrue="1">
      <formula>IF($D$21="",TRUE)</formula>
    </cfRule>
  </conditionalFormatting>
  <conditionalFormatting sqref="D26:E26">
    <cfRule type="expression" dxfId="53" priority="3" stopIfTrue="1">
      <formula>IF($D$26="",TRUE)</formula>
    </cfRule>
  </conditionalFormatting>
  <conditionalFormatting sqref="D27:E27">
    <cfRule type="expression" dxfId="52" priority="4" stopIfTrue="1">
      <formula>IF($D$27="",TRUE)</formula>
    </cfRule>
  </conditionalFormatting>
  <conditionalFormatting sqref="D28:E28">
    <cfRule type="expression" dxfId="51" priority="5" stopIfTrue="1">
      <formula>IF($D$28="",TRUE)</formula>
    </cfRule>
  </conditionalFormatting>
  <conditionalFormatting sqref="D29:E29">
    <cfRule type="expression" dxfId="50" priority="6" stopIfTrue="1">
      <formula>IF($D$29="",TRUE)</formula>
    </cfRule>
  </conditionalFormatting>
  <conditionalFormatting sqref="D16:J16">
    <cfRule type="expression" dxfId="1" priority="1" stopIfTrue="1">
      <formula>IF($D$15="",TRUE)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 right="0" top="0" bottom="0" header="0" footer="0"/>
  <pageSetup scale="48"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abSelected="1" zoomScale="70" zoomScaleNormal="70" zoomScalePageLayoutView="55" workbookViewId="0">
      <selection activeCell="C9" sqref="C9"/>
    </sheetView>
  </sheetViews>
  <sheetFormatPr defaultColWidth="8.81640625" defaultRowHeight="12.6"/>
  <cols>
    <col min="1" max="1" width="13.6328125" style="277" customWidth="1"/>
    <col min="2" max="2" width="13.36328125" style="277" customWidth="1"/>
    <col min="3" max="3" width="40.453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453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453125" style="277" hidden="1" customWidth="1"/>
    <col min="35" max="39" width="8.81640625" style="277" customWidth="1"/>
    <col min="40" max="16384" width="8.81640625" style="277"/>
  </cols>
  <sheetData>
    <row r="1" spans="1:34" s="263" customFormat="1" ht="13.8"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8.2">
      <c r="A2" s="203"/>
      <c r="B2" s="221" t="str">
        <f ca="1">OFFSET(L!$C$1,MATCH("Smelter List"&amp;ADDRESS(ROW(),COLUMN(),4),L!$A:$A,0)-1,SL,,)</f>
        <v>TO BEGIN:</v>
      </c>
      <c r="C2" s="205"/>
      <c r="D2" s="205"/>
      <c r="E2" s="205"/>
      <c r="F2" s="230"/>
      <c r="G2" s="230"/>
      <c r="H2" s="230"/>
      <c r="I2" s="231"/>
      <c r="J2" s="440" t="str">
        <f ca="1">OFFSET(L!$C$1,MATCH("Smelter List"&amp;ADDRESS(ROW(),COLUMN(),4),L!$A:$A,0)-1,SL,,)</f>
        <v>Link to "RMAP Conformant Smelter List"</v>
      </c>
      <c r="K2" s="441"/>
      <c r="L2" s="441"/>
      <c r="M2" s="441"/>
      <c r="N2" s="441"/>
      <c r="O2" s="441"/>
      <c r="P2" s="232"/>
      <c r="Q2" s="233"/>
      <c r="R2" s="234"/>
      <c r="S2" s="234"/>
      <c r="T2" s="234"/>
      <c r="U2" s="261"/>
      <c r="V2" s="261"/>
      <c r="W2" s="262"/>
      <c r="X2" s="261"/>
      <c r="Y2" s="261"/>
      <c r="Z2" s="261"/>
      <c r="AH2" s="178" t="s">
        <v>558</v>
      </c>
    </row>
    <row r="3" spans="1:34" s="263" customFormat="1" ht="255"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64"/>
      <c r="G3" s="443" t="str">
        <f ca="1">OFFSET(L!$C$1,MATCH("General"&amp;"Cpy",L!$A:$A,0)-1,SL,,)</f>
        <v>© 2019 Responsible Minerals Initiative. All rights reserved.</v>
      </c>
      <c r="H3" s="443"/>
      <c r="I3" s="444"/>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19.95" customHeight="1">
      <c r="A5" s="215"/>
      <c r="B5" s="216" t="s">
        <v>1250</v>
      </c>
      <c r="C5" s="220" t="s">
        <v>1355</v>
      </c>
      <c r="D5" s="216"/>
      <c r="E5" s="216" t="str">
        <f ca="1">IF(ISERROR($V5),"",OFFSET('Smelter Look-up'!$D$4,$V5-4,0)&amp;"")</f>
        <v>UNITED STATES OF AMERICA</v>
      </c>
      <c r="F5" s="216" t="str">
        <f ca="1">IF(ISERROR($V5),"",OFFSET('Smelter Look-up'!$E$4,$V5-4,0))</f>
        <v>CID001157</v>
      </c>
      <c r="G5" s="216" t="str">
        <f ca="1">IF(C5=$X$4,"Enter smelter details", IF(ISERROR($V5),"",OFFSET('Smelter Look-up'!$F$4,$V5-4,0)))</f>
        <v>RMI</v>
      </c>
      <c r="H5" s="217" t="s">
        <v>15494</v>
      </c>
      <c r="I5" s="218" t="s">
        <v>1862</v>
      </c>
      <c r="J5" s="218" t="s">
        <v>1863</v>
      </c>
      <c r="K5" s="347" t="s">
        <v>15495</v>
      </c>
      <c r="L5" s="350" t="s">
        <v>15497</v>
      </c>
      <c r="M5" s="348"/>
      <c r="N5" s="219" t="s">
        <v>15496</v>
      </c>
      <c r="O5" s="219" t="s">
        <v>15496</v>
      </c>
      <c r="P5" s="219" t="s">
        <v>558</v>
      </c>
      <c r="Q5" s="268"/>
      <c r="R5" s="216" t="str">
        <f ca="1">IF(ISERROR($V5),"",OFFSET('Smelter Look-up'!$C$4,$V5-4,0)&amp;"")</f>
        <v>Metalor USA Refining Corporation</v>
      </c>
      <c r="S5" s="224" t="str">
        <f t="shared" ref="S5:S68" ca="1" si="0">IF(B5="","",IF(ISERROR(MATCH($E5,CL,0)),"Unknown",INDIRECT("'C'!$A$"&amp;MATCH($E5,CL,0)+1)))</f>
        <v>US</v>
      </c>
      <c r="T5" s="224" t="str">
        <f ca="1">IF(B5="","",IF(ISERROR(MATCH($J5,SorP!$B$1:$B$6230,0)),"",INDIRECT("'SorP'!$A$"&amp;MATCH($J5,SorP!$B$1:$B$6230,0))))</f>
        <v>US-MA</v>
      </c>
      <c r="U5" s="239"/>
      <c r="V5" s="269">
        <f>IF(C5="",NA(),MATCH($B5&amp;$C5,'Smelter Look-up'!$J:$J,0))</f>
        <v>150</v>
      </c>
      <c r="W5" s="270"/>
      <c r="X5" s="270">
        <f t="shared" ref="X5:X68" ca="1" si="1">IF(AND(C5="Smelter not listed",OR(LEN(D5)=0,LEN(E5)=0)),1,0)</f>
        <v>0</v>
      </c>
      <c r="Y5" s="270"/>
      <c r="Z5" s="270"/>
      <c r="AB5" s="272" t="str">
        <f t="shared" ref="AB5:AB68" si="2">B5&amp;C5</f>
        <v>GoldMetalor USA Refining Corporation</v>
      </c>
    </row>
    <row r="6" spans="1:34" s="271" customFormat="1" ht="19.95" customHeight="1">
      <c r="A6" s="215"/>
      <c r="B6" s="216"/>
      <c r="C6" s="220"/>
      <c r="D6" s="216"/>
      <c r="E6" s="216" t="str">
        <f ca="1">IF(ISERROR($V6),"",OFFSET('Smelter Look-up'!$D$4,$V6-4,0)&amp;"")</f>
        <v/>
      </c>
      <c r="F6" s="216" t="str">
        <f ca="1">IF(ISERROR($V6),"",OFFSET('Smelter Look-up'!$E$4,$V6-4,0))</f>
        <v/>
      </c>
      <c r="G6" s="216" t="str">
        <f ca="1">IF(C6=$X$4,"Enter smelter details", IF(ISERROR($V6),"",OFFSET('Smelter Look-up'!$F$4,$V6-4,0)))</f>
        <v/>
      </c>
      <c r="H6" s="217"/>
      <c r="I6" s="218"/>
      <c r="J6" s="218"/>
      <c r="K6" s="219"/>
      <c r="L6" s="347"/>
      <c r="M6" s="348"/>
      <c r="N6" s="349"/>
      <c r="O6" s="349"/>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19.95" customHeight="1">
      <c r="A7" s="215"/>
      <c r="B7" s="216"/>
      <c r="C7" s="220"/>
      <c r="D7" s="216"/>
      <c r="E7" s="216" t="str">
        <f ca="1">IF(ISERROR($V7),"",OFFSET('Smelter Look-up'!$D$4,$V7-4,0)&amp;"")</f>
        <v/>
      </c>
      <c r="F7" s="216" t="str">
        <f ca="1">IF(ISERROR($V7),"",OFFSET('Smelter Look-up'!$E$4,$V7-4,0))</f>
        <v/>
      </c>
      <c r="G7" s="216" t="str">
        <f ca="1">IF(C7=$X$4,"Enter smelter details", IF(ISERROR($V7),"",OFFSET('Smelter Look-up'!$F$4,$V7-4,0)))</f>
        <v/>
      </c>
      <c r="H7" s="217"/>
      <c r="I7" s="218"/>
      <c r="J7" s="218"/>
      <c r="K7" s="219"/>
      <c r="L7" s="350"/>
      <c r="M7" s="348"/>
      <c r="N7" s="349"/>
      <c r="O7" s="349"/>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19.95" customHeight="1">
      <c r="A8" s="215"/>
      <c r="B8" s="216"/>
      <c r="C8" s="220"/>
      <c r="D8" s="216"/>
      <c r="E8" s="216" t="str">
        <f ca="1">IF(ISERROR($V8),"",OFFSET('Smelter Look-up'!$D$4,$V8-4,0)&amp;"")</f>
        <v/>
      </c>
      <c r="F8" s="216" t="str">
        <f ca="1">IF(ISERROR($V8),"",OFFSET('Smelter Look-up'!$E$4,$V8-4,0))</f>
        <v/>
      </c>
      <c r="G8" s="216" t="str">
        <f ca="1">IF(C8=$X$4,"Enter smelter details", IF(ISERROR($V8),"",OFFSET('Smelter Look-up'!$F$4,$V8-4,0)))</f>
        <v/>
      </c>
      <c r="H8" s="217"/>
      <c r="I8" s="218"/>
      <c r="J8" s="218"/>
      <c r="K8" s="219"/>
      <c r="L8" s="350"/>
      <c r="M8" s="348"/>
      <c r="N8" s="349"/>
      <c r="O8" s="349"/>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19.95" customHeight="1">
      <c r="A9" s="215"/>
      <c r="B9" s="216"/>
      <c r="C9" s="220"/>
      <c r="D9" s="216"/>
      <c r="E9" s="216" t="str">
        <f ca="1">IF(ISERROR($V9),"",OFFSET('Smelter Look-up'!$D$4,$V9-4,0)&amp;"")</f>
        <v/>
      </c>
      <c r="F9" s="216" t="str">
        <f ca="1">IF(ISERROR($V9),"",OFFSET('Smelter Look-up'!$E$4,$V9-4,0))</f>
        <v/>
      </c>
      <c r="G9" s="216" t="str">
        <f ca="1">IF(C9=$X$4,"Enter smelter details", IF(ISERROR($V9),"",OFFSET('Smelter Look-up'!$F$4,$V9-4,0)))</f>
        <v/>
      </c>
      <c r="H9" s="217"/>
      <c r="I9" s="218"/>
      <c r="J9" s="218"/>
      <c r="K9" s="219"/>
      <c r="L9" s="219"/>
      <c r="M9" s="219"/>
      <c r="N9" s="219"/>
      <c r="O9" s="219"/>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19.95" customHeight="1">
      <c r="A10" s="215"/>
      <c r="B10" s="216"/>
      <c r="C10" s="220"/>
      <c r="D10" s="216"/>
      <c r="E10" s="216" t="str">
        <f ca="1">IF(ISERROR($V10),"",OFFSET('Smelter Look-up'!$D$4,$V10-4,0)&amp;"")</f>
        <v/>
      </c>
      <c r="F10" s="216" t="str">
        <f ca="1">IF(ISERROR($V10),"",OFFSET('Smelter Look-up'!$E$4,$V10-4,0))</f>
        <v/>
      </c>
      <c r="G10" s="216" t="str">
        <f ca="1">IF(C10=$X$4,"Enter smelter details", IF(ISERROR($V10),"",OFFSET('Smelter Look-up'!$F$4,$V10-4,0)))</f>
        <v/>
      </c>
      <c r="H10" s="217"/>
      <c r="I10" s="218" t="str">
        <f ca="1">IF(ISERROR($V10),"",OFFSET('Smelter Look-up'!$H$4,$V10-4,0))</f>
        <v/>
      </c>
      <c r="J10" s="218" t="str">
        <f ca="1">IF(ISERROR($V10),"",OFFSET('Smelter Look-up'!$I$4,$V10-4,0))</f>
        <v/>
      </c>
      <c r="K10" s="347"/>
      <c r="L10" s="350"/>
      <c r="M10" s="348"/>
      <c r="N10" s="219"/>
      <c r="O10" s="219"/>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19.95"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399999999999999">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399999999999999">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399999999999999">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399999999999999">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399999999999999">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399999999999999">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399999999999999">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399999999999999">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399999999999999">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399999999999999">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399999999999999">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399999999999999">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399999999999999">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399999999999999">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399999999999999">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399999999999999">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399999999999999">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399999999999999">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399999999999999">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399999999999999">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399999999999999">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399999999999999">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399999999999999">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399999999999999">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399999999999999">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399999999999999">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399999999999999">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399999999999999">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399999999999999">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399999999999999">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399999999999999">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399999999999999">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399999999999999">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399999999999999">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399999999999999">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399999999999999">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399999999999999">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399999999999999">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399999999999999">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399999999999999">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399999999999999">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399999999999999">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399999999999999">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399999999999999">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399999999999999">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399999999999999">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399999999999999">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399999999999999">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399999999999999">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399999999999999">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399999999999999">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399999999999999">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399999999999999">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399999999999999">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399999999999999">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399999999999999">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399999999999999">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399999999999999">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399999999999999">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399999999999999">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399999999999999">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399999999999999">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399999999999999">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399999999999999">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399999999999999">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399999999999999">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399999999999999">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399999999999999">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399999999999999">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399999999999999">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399999999999999">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399999999999999">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399999999999999">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399999999999999">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399999999999999">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399999999999999">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399999999999999">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399999999999999">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399999999999999">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399999999999999">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399999999999999">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399999999999999">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399999999999999">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399999999999999">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399999999999999">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399999999999999">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399999999999999">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399999999999999">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399999999999999">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399999999999999">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399999999999999">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399999999999999">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399999999999999">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399999999999999">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399999999999999">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399999999999999">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399999999999999">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399999999999999">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399999999999999">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399999999999999">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399999999999999">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399999999999999">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399999999999999">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399999999999999">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399999999999999">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399999999999999">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399999999999999">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399999999999999">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399999999999999">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399999999999999">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399999999999999">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399999999999999">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399999999999999">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399999999999999">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399999999999999">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399999999999999">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399999999999999">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399999999999999">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399999999999999">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399999999999999">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399999999999999">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399999999999999">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399999999999999">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399999999999999">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399999999999999">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399999999999999">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399999999999999">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399999999999999">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399999999999999">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399999999999999">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399999999999999">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399999999999999">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399999999999999">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399999999999999">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399999999999999">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399999999999999">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399999999999999">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399999999999999">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399999999999999">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399999999999999">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399999999999999">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399999999999999">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399999999999999">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399999999999999">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399999999999999">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399999999999999">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399999999999999">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399999999999999">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399999999999999">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399999999999999">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399999999999999">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399999999999999">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399999999999999">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399999999999999">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399999999999999">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399999999999999">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399999999999999">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399999999999999">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399999999999999">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399999999999999">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399999999999999">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399999999999999">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399999999999999">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399999999999999">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399999999999999">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399999999999999">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399999999999999">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399999999999999">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399999999999999">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399999999999999">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399999999999999">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399999999999999">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399999999999999">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399999999999999">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399999999999999">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399999999999999">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399999999999999">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399999999999999">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399999999999999">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399999999999999">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399999999999999">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399999999999999">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399999999999999">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399999999999999">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399999999999999">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399999999999999">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399999999999999">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399999999999999">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399999999999999">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399999999999999">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399999999999999">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399999999999999">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399999999999999">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399999999999999">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399999999999999">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399999999999999">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399999999999999">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399999999999999">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399999999999999">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399999999999999">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399999999999999">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399999999999999">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399999999999999">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399999999999999">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399999999999999">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399999999999999">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399999999999999">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399999999999999">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399999999999999">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399999999999999">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399999999999999">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399999999999999">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399999999999999">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399999999999999">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399999999999999">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399999999999999">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399999999999999">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399999999999999">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399999999999999">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399999999999999">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399999999999999">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399999999999999">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399999999999999">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399999999999999">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399999999999999">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399999999999999">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399999999999999">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399999999999999">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399999999999999">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399999999999999">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399999999999999">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399999999999999">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399999999999999">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399999999999999">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399999999999999">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399999999999999">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399999999999999">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399999999999999">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399999999999999">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399999999999999">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399999999999999">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399999999999999">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399999999999999">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399999999999999">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399999999999999">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399999999999999">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399999999999999">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399999999999999">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399999999999999">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399999999999999">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399999999999999">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399999999999999">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399999999999999">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399999999999999">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399999999999999">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399999999999999">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399999999999999">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399999999999999">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399999999999999">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399999999999999">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399999999999999">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399999999999999">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399999999999999">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399999999999999">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399999999999999">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399999999999999">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399999999999999">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399999999999999">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399999999999999">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399999999999999">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399999999999999">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399999999999999">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399999999999999">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399999999999999">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399999999999999">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399999999999999">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399999999999999">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399999999999999">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399999999999999">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399999999999999">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399999999999999">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399999999999999">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399999999999999">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399999999999999">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399999999999999">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399999999999999">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399999999999999">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399999999999999">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399999999999999">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399999999999999">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399999999999999">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399999999999999">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399999999999999">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399999999999999">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399999999999999">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399999999999999">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399999999999999">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399999999999999">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399999999999999">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399999999999999">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399999999999999">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399999999999999">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399999999999999">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399999999999999">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399999999999999">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399999999999999">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399999999999999">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399999999999999">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399999999999999">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399999999999999">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399999999999999">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399999999999999">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399999999999999">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399999999999999">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399999999999999">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399999999999999">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399999999999999">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399999999999999">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399999999999999">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399999999999999">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399999999999999">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399999999999999">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399999999999999">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399999999999999">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399999999999999">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399999999999999">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399999999999999">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399999999999999">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399999999999999">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399999999999999">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399999999999999">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399999999999999">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399999999999999">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399999999999999">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399999999999999">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399999999999999">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399999999999999">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399999999999999">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399999999999999">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399999999999999">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399999999999999">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399999999999999">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399999999999999">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399999999999999">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399999999999999">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399999999999999">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399999999999999">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399999999999999">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399999999999999">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399999999999999">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399999999999999">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399999999999999">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399999999999999">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399999999999999">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399999999999999">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399999999999999">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399999999999999">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399999999999999">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399999999999999">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399999999999999">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399999999999999">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399999999999999">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399999999999999">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399999999999999">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399999999999999">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399999999999999">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399999999999999">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399999999999999">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399999999999999">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399999999999999">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399999999999999">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399999999999999">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399999999999999">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399999999999999">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399999999999999">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399999999999999">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399999999999999">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399999999999999">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399999999999999">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399999999999999">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399999999999999">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399999999999999">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399999999999999">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399999999999999">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399999999999999">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399999999999999">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399999999999999">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399999999999999">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399999999999999">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399999999999999">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399999999999999">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399999999999999">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399999999999999">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399999999999999">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399999999999999">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399999999999999">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399999999999999">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399999999999999">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399999999999999">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399999999999999">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399999999999999">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399999999999999">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399999999999999">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399999999999999">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399999999999999">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399999999999999">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399999999999999">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399999999999999">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399999999999999">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399999999999999">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399999999999999">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399999999999999">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399999999999999">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399999999999999">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399999999999999">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399999999999999">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399999999999999">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399999999999999">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399999999999999">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399999999999999">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399999999999999">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399999999999999">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399999999999999">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399999999999999">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399999999999999">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399999999999999">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399999999999999">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399999999999999">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399999999999999">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399999999999999">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399999999999999">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399999999999999">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399999999999999">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399999999999999">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399999999999999">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399999999999999">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399999999999999">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399999999999999">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399999999999999">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399999999999999">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399999999999999">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399999999999999">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399999999999999">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399999999999999">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399999999999999">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399999999999999">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399999999999999">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399999999999999">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399999999999999">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399999999999999">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399999999999999">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399999999999999">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399999999999999">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399999999999999">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399999999999999">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399999999999999">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399999999999999">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399999999999999">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399999999999999">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399999999999999">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399999999999999">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399999999999999">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399999999999999">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399999999999999">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399999999999999">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399999999999999">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399999999999999">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399999999999999">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399999999999999">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399999999999999">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399999999999999">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399999999999999">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399999999999999">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399999999999999">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399999999999999">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399999999999999">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399999999999999">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399999999999999">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399999999999999">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399999999999999">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399999999999999">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399999999999999">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399999999999999">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399999999999999">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399999999999999">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399999999999999">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399999999999999">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399999999999999">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399999999999999">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399999999999999">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399999999999999">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399999999999999">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399999999999999">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399999999999999">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399999999999999">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399999999999999">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399999999999999">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399999999999999">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399999999999999">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399999999999999">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399999999999999">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399999999999999">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399999999999999">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399999999999999">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399999999999999">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399999999999999">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399999999999999">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399999999999999">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399999999999999">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399999999999999">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399999999999999">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399999999999999">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399999999999999">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399999999999999">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399999999999999">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399999999999999">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399999999999999">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399999999999999">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399999999999999">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399999999999999">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399999999999999">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399999999999999">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399999999999999">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399999999999999">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399999999999999">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399999999999999">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399999999999999">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399999999999999">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399999999999999">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399999999999999">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399999999999999">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399999999999999">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399999999999999">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399999999999999">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399999999999999">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399999999999999">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399999999999999">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399999999999999">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399999999999999">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399999999999999">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399999999999999">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399999999999999">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399999999999999">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399999999999999">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399999999999999">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399999999999999">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399999999999999">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399999999999999">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399999999999999">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399999999999999">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399999999999999">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399999999999999">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399999999999999">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399999999999999">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399999999999999">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399999999999999">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399999999999999">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399999999999999">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399999999999999">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399999999999999">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399999999999999">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399999999999999">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399999999999999">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399999999999999">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399999999999999">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399999999999999">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399999999999999">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399999999999999">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399999999999999">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399999999999999">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399999999999999">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399999999999999">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399999999999999">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399999999999999">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399999999999999">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399999999999999">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399999999999999">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399999999999999">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399999999999999">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399999999999999">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399999999999999">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399999999999999">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399999999999999">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399999999999999">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399999999999999">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399999999999999">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399999999999999">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399999999999999">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399999999999999">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399999999999999">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399999999999999">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399999999999999">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399999999999999">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399999999999999">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399999999999999">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399999999999999">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399999999999999">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399999999999999">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399999999999999">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399999999999999">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399999999999999">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399999999999999">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399999999999999">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399999999999999">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399999999999999">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399999999999999">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399999999999999">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399999999999999">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399999999999999">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399999999999999">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399999999999999">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399999999999999">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399999999999999">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399999999999999">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399999999999999">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399999999999999">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399999999999999">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399999999999999">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399999999999999">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399999999999999">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399999999999999">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399999999999999">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399999999999999">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399999999999999">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399999999999999">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399999999999999">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399999999999999">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399999999999999">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399999999999999">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399999999999999">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399999999999999">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399999999999999">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399999999999999">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399999999999999">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399999999999999">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399999999999999">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399999999999999">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399999999999999">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399999999999999">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399999999999999">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399999999999999">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399999999999999">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399999999999999">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399999999999999">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399999999999999">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399999999999999">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399999999999999">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399999999999999">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399999999999999">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399999999999999">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399999999999999">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399999999999999">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399999999999999">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399999999999999">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399999999999999">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399999999999999">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399999999999999">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399999999999999">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399999999999999">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399999999999999">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399999999999999">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399999999999999">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399999999999999">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399999999999999">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399999999999999">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399999999999999">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399999999999999">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399999999999999">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399999999999999">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399999999999999">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399999999999999">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399999999999999">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399999999999999">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399999999999999">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399999999999999">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399999999999999">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399999999999999">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399999999999999">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399999999999999">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399999999999999">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399999999999999">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399999999999999">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399999999999999">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399999999999999">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399999999999999">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399999999999999">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399999999999999">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399999999999999">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399999999999999">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399999999999999">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399999999999999">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399999999999999">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399999999999999">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399999999999999">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399999999999999">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399999999999999">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399999999999999">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399999999999999">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399999999999999">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399999999999999">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399999999999999">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399999999999999">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399999999999999">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399999999999999">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399999999999999">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399999999999999">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399999999999999">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399999999999999">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399999999999999">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399999999999999">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399999999999999">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399999999999999">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399999999999999">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399999999999999">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399999999999999">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399999999999999">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399999999999999">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399999999999999">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399999999999999">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399999999999999">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399999999999999">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399999999999999">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399999999999999">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399999999999999">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399999999999999">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399999999999999">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399999999999999">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399999999999999">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399999999999999">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399999999999999">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399999999999999">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399999999999999">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399999999999999">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399999999999999">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399999999999999">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399999999999999">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399999999999999">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399999999999999">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399999999999999">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399999999999999">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399999999999999">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399999999999999">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399999999999999">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399999999999999">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399999999999999">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399999999999999">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399999999999999">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399999999999999">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399999999999999">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399999999999999">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399999999999999">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399999999999999">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399999999999999">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399999999999999">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399999999999999">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399999999999999">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399999999999999">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399999999999999">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399999999999999">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399999999999999">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399999999999999">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399999999999999">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399999999999999">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399999999999999">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399999999999999">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399999999999999">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399999999999999">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399999999999999">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399999999999999">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399999999999999">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399999999999999">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399999999999999">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399999999999999">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399999999999999">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399999999999999">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399999999999999">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399999999999999">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399999999999999">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399999999999999">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399999999999999">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399999999999999">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399999999999999">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399999999999999">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399999999999999">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399999999999999">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399999999999999">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399999999999999">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399999999999999">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399999999999999">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399999999999999">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399999999999999">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399999999999999">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399999999999999">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399999999999999">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399999999999999">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399999999999999">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399999999999999">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399999999999999">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399999999999999">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399999999999999">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399999999999999">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399999999999999">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399999999999999">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399999999999999">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399999999999999">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399999999999999">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399999999999999">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399999999999999">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399999999999999">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399999999999999">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399999999999999">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399999999999999">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399999999999999">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399999999999999">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399999999999999">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399999999999999">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399999999999999">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399999999999999">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399999999999999">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399999999999999">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399999999999999">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399999999999999">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399999999999999">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399999999999999">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399999999999999">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399999999999999">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399999999999999">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399999999999999">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399999999999999">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399999999999999">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399999999999999">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399999999999999">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399999999999999">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399999999999999">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399999999999999">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399999999999999">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399999999999999">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399999999999999">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399999999999999">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399999999999999">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399999999999999">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399999999999999">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399999999999999">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399999999999999">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399999999999999">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399999999999999">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399999999999999">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399999999999999">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399999999999999">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399999999999999">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399999999999999">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399999999999999">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399999999999999">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399999999999999">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399999999999999">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399999999999999">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399999999999999">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399999999999999">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399999999999999">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399999999999999">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399999999999999">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399999999999999">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399999999999999">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399999999999999">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399999999999999">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399999999999999">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399999999999999">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399999999999999">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399999999999999">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399999999999999">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399999999999999">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399999999999999">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399999999999999">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399999999999999">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399999999999999">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399999999999999">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399999999999999">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399999999999999">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399999999999999">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399999999999999">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399999999999999">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399999999999999">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399999999999999">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399999999999999">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399999999999999">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399999999999999">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399999999999999">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399999999999999">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399999999999999">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399999999999999">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399999999999999">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399999999999999">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399999999999999">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399999999999999">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399999999999999">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399999999999999">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399999999999999">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399999999999999">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399999999999999">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399999999999999">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399999999999999">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399999999999999">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399999999999999">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399999999999999">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399999999999999">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399999999999999">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399999999999999">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399999999999999">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399999999999999">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399999999999999">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399999999999999">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399999999999999">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399999999999999">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399999999999999">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399999999999999">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399999999999999">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399999999999999">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399999999999999">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399999999999999">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399999999999999">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399999999999999">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399999999999999">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399999999999999">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399999999999999">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399999999999999">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399999999999999">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399999999999999">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399999999999999">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399999999999999">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399999999999999">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399999999999999">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399999999999999">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399999999999999">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399999999999999">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399999999999999">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399999999999999">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399999999999999">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399999999999999">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399999999999999">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399999999999999">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399999999999999">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399999999999999">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399999999999999">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399999999999999">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399999999999999">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399999999999999">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399999999999999">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399999999999999">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399999999999999">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399999999999999">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399999999999999">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399999999999999">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399999999999999">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399999999999999">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399999999999999">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399999999999999">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399999999999999">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399999999999999">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399999999999999">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399999999999999">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399999999999999">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399999999999999">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399999999999999">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399999999999999">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399999999999999">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399999999999999">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399999999999999">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399999999999999">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399999999999999">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399999999999999">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399999999999999">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399999999999999">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399999999999999">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399999999999999">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399999999999999">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399999999999999">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399999999999999">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399999999999999">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399999999999999">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399999999999999">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399999999999999">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399999999999999">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399999999999999">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399999999999999">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399999999999999">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399999999999999">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399999999999999">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399999999999999">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399999999999999">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399999999999999">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399999999999999">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399999999999999">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399999999999999">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399999999999999">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399999999999999">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399999999999999">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399999999999999">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399999999999999">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399999999999999">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399999999999999">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399999999999999">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399999999999999">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399999999999999">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399999999999999">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399999999999999">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399999999999999">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399999999999999">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399999999999999">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399999999999999">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399999999999999">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399999999999999">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399999999999999">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399999999999999">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399999999999999">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399999999999999">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399999999999999">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399999999999999">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399999999999999">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399999999999999">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399999999999999">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399999999999999">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399999999999999">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399999999999999">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399999999999999">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399999999999999">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399999999999999">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399999999999999">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399999999999999">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399999999999999">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399999999999999">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399999999999999">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399999999999999">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399999999999999">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399999999999999">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399999999999999">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399999999999999">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399999999999999">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399999999999999">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399999999999999">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399999999999999">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399999999999999">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399999999999999">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399999999999999">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399999999999999">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399999999999999">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399999999999999">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399999999999999">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399999999999999">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399999999999999">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399999999999999">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399999999999999">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399999999999999">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399999999999999">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399999999999999">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399999999999999">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399999999999999">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399999999999999">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399999999999999">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399999999999999">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399999999999999">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399999999999999">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399999999999999">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399999999999999">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399999999999999">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399999999999999">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399999999999999">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399999999999999">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399999999999999">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399999999999999">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399999999999999">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399999999999999">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399999999999999">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399999999999999">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399999999999999">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399999999999999">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399999999999999">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399999999999999">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399999999999999">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399999999999999">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399999999999999">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399999999999999">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399999999999999">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399999999999999">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399999999999999">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399999999999999">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399999999999999">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399999999999999">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399999999999999">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399999999999999">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399999999999999">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399999999999999">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399999999999999">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399999999999999">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399999999999999">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399999999999999">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399999999999999">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399999999999999">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399999999999999">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399999999999999">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399999999999999">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399999999999999">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399999999999999">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399999999999999">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399999999999999">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399999999999999">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399999999999999">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399999999999999">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399999999999999">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399999999999999">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399999999999999">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399999999999999">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399999999999999">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399999999999999">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399999999999999">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399999999999999">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399999999999999">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399999999999999">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399999999999999">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399999999999999">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399999999999999">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399999999999999">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399999999999999">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399999999999999">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399999999999999">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399999999999999">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399999999999999">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399999999999999">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399999999999999">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399999999999999">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399999999999999">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399999999999999">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399999999999999">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399999999999999">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399999999999999">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399999999999999">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399999999999999">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399999999999999">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399999999999999">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399999999999999">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399999999999999">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399999999999999">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399999999999999">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399999999999999">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399999999999999">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399999999999999">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399999999999999">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399999999999999">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399999999999999">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399999999999999">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399999999999999">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399999999999999">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399999999999999">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399999999999999">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399999999999999">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399999999999999">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399999999999999">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399999999999999">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399999999999999">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399999999999999">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399999999999999">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399999999999999">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399999999999999">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399999999999999">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399999999999999">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399999999999999">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399999999999999">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399999999999999">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399999999999999">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399999999999999">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399999999999999">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399999999999999">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399999999999999">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399999999999999">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399999999999999">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399999999999999">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399999999999999">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399999999999999">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399999999999999">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399999999999999">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399999999999999">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399999999999999">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399999999999999">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399999999999999">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399999999999999">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399999999999999">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399999999999999">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399999999999999">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399999999999999">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399999999999999">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399999999999999">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399999999999999">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399999999999999">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399999999999999">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399999999999999">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399999999999999">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399999999999999">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399999999999999">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399999999999999">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399999999999999">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399999999999999">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399999999999999">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399999999999999">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399999999999999">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399999999999999">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399999999999999">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399999999999999">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399999999999999">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399999999999999">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399999999999999">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399999999999999">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399999999999999">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399999999999999">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399999999999999">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399999999999999">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399999999999999">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399999999999999">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399999999999999">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399999999999999">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399999999999999">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399999999999999">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399999999999999">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399999999999999">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399999999999999">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399999999999999">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399999999999999">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399999999999999">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399999999999999">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399999999999999">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399999999999999">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399999999999999">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399999999999999">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399999999999999">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399999999999999">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399999999999999">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399999999999999">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399999999999999">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399999999999999">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399999999999999">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399999999999999">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399999999999999">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399999999999999">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399999999999999">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399999999999999">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399999999999999">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399999999999999">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399999999999999">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399999999999999">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399999999999999">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399999999999999">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399999999999999">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399999999999999">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399999999999999">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399999999999999">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399999999999999">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399999999999999">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399999999999999">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399999999999999">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399999999999999">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399999999999999">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399999999999999">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399999999999999">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399999999999999">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399999999999999">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399999999999999">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399999999999999">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399999999999999">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399999999999999">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399999999999999">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399999999999999">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399999999999999">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399999999999999">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399999999999999">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399999999999999">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399999999999999">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399999999999999">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399999999999999">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399999999999999">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399999999999999">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399999999999999">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399999999999999">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399999999999999">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399999999999999">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399999999999999">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399999999999999">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399999999999999">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399999999999999">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399999999999999">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399999999999999">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399999999999999">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399999999999999">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399999999999999">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399999999999999">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399999999999999">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399999999999999">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399999999999999">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399999999999999">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399999999999999">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399999999999999">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399999999999999">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399999999999999">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399999999999999">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399999999999999">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399999999999999">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399999999999999">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399999999999999">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399999999999999">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399999999999999">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399999999999999">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399999999999999">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399999999999999">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399999999999999">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399999999999999">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399999999999999">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399999999999999">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399999999999999">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399999999999999">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399999999999999">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399999999999999">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399999999999999">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399999999999999">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399999999999999">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399999999999999">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399999999999999">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399999999999999">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399999999999999">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399999999999999">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399999999999999">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399999999999999">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399999999999999">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399999999999999">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399999999999999">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399999999999999">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399999999999999">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399999999999999">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399999999999999">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399999999999999">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399999999999999">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399999999999999">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399999999999999">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399999999999999">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399999999999999">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399999999999999">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399999999999999">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399999999999999">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399999999999999">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399999999999999">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399999999999999">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399999999999999">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399999999999999">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399999999999999">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399999999999999">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399999999999999">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399999999999999">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399999999999999">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399999999999999">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399999999999999">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399999999999999">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399999999999999">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399999999999999">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399999999999999">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399999999999999">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399999999999999">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399999999999999">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399999999999999">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399999999999999">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399999999999999">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399999999999999">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399999999999999">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399999999999999">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399999999999999">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399999999999999">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399999999999999">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399999999999999">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399999999999999">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399999999999999">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399999999999999">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399999999999999">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399999999999999">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399999999999999">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399999999999999">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399999999999999">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399999999999999">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399999999999999">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399999999999999">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399999999999999">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399999999999999">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399999999999999">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399999999999999">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399999999999999">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399999999999999">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399999999999999">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399999999999999">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399999999999999">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399999999999999">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399999999999999">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399999999999999">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399999999999999">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399999999999999">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399999999999999">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399999999999999">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399999999999999">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399999999999999">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399999999999999">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399999999999999">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399999999999999">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399999999999999">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399999999999999">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399999999999999">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399999999999999">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399999999999999">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399999999999999">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399999999999999">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399999999999999">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399999999999999">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399999999999999">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399999999999999">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399999999999999">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399999999999999">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399999999999999">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399999999999999">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399999999999999">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399999999999999">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399999999999999">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399999999999999">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399999999999999">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399999999999999">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399999999999999">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399999999999999">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399999999999999">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399999999999999">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399999999999999">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399999999999999">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399999999999999">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399999999999999">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399999999999999">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399999999999999">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399999999999999">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399999999999999">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399999999999999">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399999999999999">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399999999999999">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399999999999999">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399999999999999">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399999999999999">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399999999999999">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399999999999999">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399999999999999">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399999999999999">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399999999999999">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399999999999999">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399999999999999">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399999999999999">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399999999999999">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399999999999999">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399999999999999">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399999999999999">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399999999999999">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399999999999999">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399999999999999">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399999999999999">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399999999999999">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399999999999999">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399999999999999">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399999999999999">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399999999999999">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399999999999999">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399999999999999">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399999999999999">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399999999999999">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399999999999999">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399999999999999">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399999999999999">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399999999999999">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399999999999999">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399999999999999">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399999999999999">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399999999999999">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399999999999999">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399999999999999">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399999999999999">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399999999999999">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399999999999999">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399999999999999">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399999999999999">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399999999999999">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399999999999999">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399999999999999">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399999999999999">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399999999999999">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399999999999999">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399999999999999">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399999999999999">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399999999999999">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399999999999999">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399999999999999">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399999999999999">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399999999999999">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399999999999999">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399999999999999">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399999999999999">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399999999999999">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399999999999999">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399999999999999">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399999999999999">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399999999999999">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399999999999999">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399999999999999">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399999999999999">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399999999999999">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399999999999999">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399999999999999">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399999999999999">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399999999999999">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399999999999999">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399999999999999">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399999999999999">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399999999999999">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399999999999999">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399999999999999">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399999999999999">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399999999999999">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399999999999999">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399999999999999">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399999999999999">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399999999999999">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399999999999999">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399999999999999">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399999999999999">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399999999999999">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399999999999999">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399999999999999">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399999999999999">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399999999999999">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399999999999999">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399999999999999">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399999999999999">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399999999999999">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399999999999999">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399999999999999">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399999999999999">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399999999999999">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399999999999999">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399999999999999">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399999999999999">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399999999999999">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399999999999999">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399999999999999">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399999999999999">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399999999999999">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399999999999999">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399999999999999">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399999999999999">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399999999999999">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399999999999999">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399999999999999">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399999999999999">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399999999999999">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399999999999999">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399999999999999">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399999999999999">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399999999999999">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399999999999999">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399999999999999">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399999999999999">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399999999999999">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399999999999999">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399999999999999">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399999999999999">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399999999999999">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399999999999999">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399999999999999">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399999999999999">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399999999999999">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399999999999999">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399999999999999">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399999999999999">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399999999999999">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399999999999999">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399999999999999">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399999999999999">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399999999999999">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399999999999999">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399999999999999">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399999999999999">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399999999999999">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399999999999999">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399999999999999">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399999999999999">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399999999999999">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399999999999999">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399999999999999">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399999999999999">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399999999999999">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399999999999999">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399999999999999">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399999999999999">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399999999999999">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399999999999999">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399999999999999">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399999999999999">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399999999999999">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399999999999999">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399999999999999">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399999999999999">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399999999999999">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399999999999999">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399999999999999">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399999999999999">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399999999999999">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399999999999999">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399999999999999">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399999999999999">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399999999999999">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399999999999999">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399999999999999">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399999999999999">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399999999999999">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399999999999999">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399999999999999">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399999999999999">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399999999999999">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399999999999999">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399999999999999">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399999999999999">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399999999999999">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399999999999999">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399999999999999">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399999999999999">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399999999999999">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399999999999999">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399999999999999">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399999999999999">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399999999999999">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399999999999999">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399999999999999">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399999999999999">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399999999999999">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399999999999999">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399999999999999">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399999999999999">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399999999999999">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399999999999999">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399999999999999">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399999999999999">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399999999999999">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399999999999999">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399999999999999">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399999999999999">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399999999999999">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399999999999999">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399999999999999">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399999999999999">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399999999999999">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399999999999999">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399999999999999">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399999999999999">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399999999999999">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399999999999999">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399999999999999">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399999999999999">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399999999999999">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399999999999999">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399999999999999">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399999999999999">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399999999999999">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399999999999999">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399999999999999">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399999999999999">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399999999999999">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399999999999999">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399999999999999">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399999999999999">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399999999999999">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399999999999999">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399999999999999">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399999999999999">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399999999999999">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399999999999999">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399999999999999">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399999999999999">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399999999999999">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399999999999999">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399999999999999">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399999999999999">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399999999999999">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399999999999999">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399999999999999">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399999999999999">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399999999999999">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399999999999999">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399999999999999">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399999999999999">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399999999999999">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399999999999999">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399999999999999">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399999999999999">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399999999999999">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399999999999999">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399999999999999">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399999999999999">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399999999999999">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399999999999999">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399999999999999">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399999999999999">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399999999999999">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399999999999999">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399999999999999">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399999999999999">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399999999999999">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399999999999999">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399999999999999">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399999999999999">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399999999999999">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399999999999999">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399999999999999">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399999999999999">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399999999999999">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399999999999999">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399999999999999">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399999999999999">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399999999999999">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399999999999999">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399999999999999">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399999999999999">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399999999999999">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399999999999999">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399999999999999">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399999999999999">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399999999999999">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399999999999999">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399999999999999">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399999999999999">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399999999999999">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399999999999999">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399999999999999">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399999999999999">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399999999999999">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399999999999999">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399999999999999">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399999999999999">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399999999999999">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399999999999999">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399999999999999">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399999999999999">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399999999999999">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399999999999999">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399999999999999">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399999999999999">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399999999999999">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399999999999999">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399999999999999">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399999999999999">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399999999999999">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399999999999999">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399999999999999">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399999999999999">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399999999999999">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399999999999999">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399999999999999">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399999999999999">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399999999999999">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399999999999999">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399999999999999">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399999999999999">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399999999999999">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399999999999999">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399999999999999">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399999999999999">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399999999999999">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399999999999999">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399999999999999">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399999999999999">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399999999999999">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399999999999999">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399999999999999">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399999999999999">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399999999999999">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399999999999999">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399999999999999">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399999999999999">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399999999999999">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399999999999999">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399999999999999">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399999999999999">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399999999999999">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399999999999999">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399999999999999">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399999999999999">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399999999999999">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399999999999999">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399999999999999">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399999999999999">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399999999999999">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399999999999999">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399999999999999">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399999999999999">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399999999999999">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399999999999999">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399999999999999">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399999999999999">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399999999999999">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399999999999999">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399999999999999">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399999999999999">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399999999999999">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399999999999999">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399999999999999">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399999999999999">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399999999999999">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399999999999999">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399999999999999">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399999999999999">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399999999999999">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399999999999999">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399999999999999">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399999999999999">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399999999999999">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399999999999999">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399999999999999">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399999999999999">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399999999999999">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399999999999999">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399999999999999">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399999999999999">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399999999999999">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399999999999999">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399999999999999">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399999999999999">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399999999999999">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399999999999999">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399999999999999">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399999999999999">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399999999999999">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399999999999999">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399999999999999">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399999999999999">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399999999999999">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399999999999999">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399999999999999">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399999999999999">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399999999999999">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399999999999999">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399999999999999">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399999999999999">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399999999999999">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399999999999999">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399999999999999">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399999999999999">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399999999999999">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399999999999999">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399999999999999">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399999999999999">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399999999999999">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399999999999999">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399999999999999">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399999999999999">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399999999999999">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399999999999999">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399999999999999">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399999999999999">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399999999999999">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399999999999999">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399999999999999">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399999999999999">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399999999999999">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399999999999999">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399999999999999">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399999999999999">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399999999999999">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399999999999999">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399999999999999">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399999999999999">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399999999999999">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399999999999999">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399999999999999">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399999999999999">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399999999999999">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399999999999999">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399999999999999">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399999999999999">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399999999999999">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399999999999999">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399999999999999">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399999999999999">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399999999999999">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399999999999999">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399999999999999">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399999999999999">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399999999999999">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399999999999999">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399999999999999">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399999999999999">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399999999999999">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399999999999999">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399999999999999">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399999999999999">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399999999999999">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399999999999999">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399999999999999">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399999999999999">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399999999999999">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399999999999999">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399999999999999">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399999999999999">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399999999999999">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399999999999999">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399999999999999">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399999999999999">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399999999999999">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399999999999999">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399999999999999">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399999999999999">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399999999999999">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399999999999999">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399999999999999">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399999999999999">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399999999999999">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399999999999999">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399999999999999">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399999999999999">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399999999999999">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399999999999999">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399999999999999">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399999999999999">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399999999999999">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399999999999999">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399999999999999">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399999999999999">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399999999999999">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399999999999999">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399999999999999">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399999999999999">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399999999999999">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399999999999999">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399999999999999">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399999999999999">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399999999999999">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399999999999999">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399999999999999">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399999999999999">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399999999999999">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399999999999999">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399999999999999">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399999999999999">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399999999999999">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399999999999999">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399999999999999">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399999999999999">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399999999999999">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399999999999999">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399999999999999">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399999999999999">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399999999999999">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399999999999999">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399999999999999">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399999999999999">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399999999999999">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399999999999999">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399999999999999">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399999999999999">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399999999999999">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399999999999999">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399999999999999">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399999999999999">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399999999999999">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399999999999999">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399999999999999">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399999999999999">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399999999999999">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399999999999999">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399999999999999">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399999999999999">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399999999999999">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399999999999999">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399999999999999">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399999999999999">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399999999999999">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399999999999999">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399999999999999">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399999999999999">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399999999999999">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399999999999999">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399999999999999">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399999999999999">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399999999999999">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399999999999999">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399999999999999">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399999999999999">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399999999999999">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399999999999999">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399999999999999">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399999999999999">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399999999999999">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399999999999999">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399999999999999">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399999999999999">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399999999999999">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399999999999999">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399999999999999">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399999999999999">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399999999999999">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399999999999999">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399999999999999">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399999999999999">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399999999999999">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399999999999999">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399999999999999">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399999999999999">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399999999999999">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399999999999999">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399999999999999">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399999999999999">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399999999999999">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399999999999999">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399999999999999">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399999999999999">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399999999999999">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399999999999999">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399999999999999">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399999999999999">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399999999999999">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399999999999999">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399999999999999">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399999999999999">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399999999999999">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399999999999999">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399999999999999">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399999999999999">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399999999999999">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399999999999999">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399999999999999">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399999999999999">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399999999999999">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399999999999999">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399999999999999">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399999999999999">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399999999999999">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399999999999999">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399999999999999">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399999999999999">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399999999999999">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399999999999999">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399999999999999">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399999999999999">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399999999999999">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399999999999999">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399999999999999">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399999999999999">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399999999999999">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399999999999999">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399999999999999">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399999999999999">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399999999999999">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399999999999999">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399999999999999">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399999999999999">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399999999999999">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399999999999999">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399999999999999">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399999999999999">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399999999999999">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399999999999999">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399999999999999">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399999999999999">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399999999999999">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399999999999999">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399999999999999">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399999999999999">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399999999999999">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399999999999999">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399999999999999">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399999999999999">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399999999999999">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399999999999999">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399999999999999">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399999999999999">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399999999999999">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399999999999999">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399999999999999">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399999999999999">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399999999999999">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399999999999999">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399999999999999">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399999999999999">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399999999999999">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399999999999999">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399999999999999">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399999999999999">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399999999999999">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399999999999999">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399999999999999">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399999999999999">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399999999999999">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399999999999999">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399999999999999">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399999999999999">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399999999999999">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399999999999999">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399999999999999">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399999999999999">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399999999999999">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399999999999999">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399999999999999">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399999999999999">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399999999999999">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399999999999999">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399999999999999">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399999999999999">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399999999999999">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399999999999999">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399999999999999">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399999999999999">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399999999999999">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399999999999999">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399999999999999">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399999999999999">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399999999999999">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399999999999999">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399999999999999">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399999999999999">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399999999999999">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399999999999999">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399999999999999">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399999999999999">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399999999999999">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399999999999999">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399999999999999">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399999999999999">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399999999999999">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399999999999999">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399999999999999">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399999999999999">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399999999999999">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399999999999999">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399999999999999">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399999999999999">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399999999999999">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399999999999999">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399999999999999">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399999999999999">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399999999999999">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399999999999999">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399999999999999">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399999999999999">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399999999999999">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399999999999999">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399999999999999">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399999999999999">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399999999999999">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399999999999999">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399999999999999">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399999999999999">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399999999999999">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399999999999999">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399999999999999">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399999999999999">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399999999999999">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399999999999999">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399999999999999">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399999999999999">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399999999999999">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399999999999999">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399999999999999">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399999999999999">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399999999999999">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399999999999999">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399999999999999">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399999999999999">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399999999999999">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399999999999999">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399999999999999">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399999999999999">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399999999999999">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399999999999999">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399999999999999">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399999999999999">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399999999999999">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399999999999999">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399999999999999">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399999999999999">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399999999999999">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399999999999999">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399999999999999">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399999999999999">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399999999999999">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399999999999999">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399999999999999">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399999999999999">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399999999999999">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399999999999999">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399999999999999">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399999999999999">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399999999999999">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399999999999999">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399999999999999">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399999999999999">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399999999999999">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399999999999999">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399999999999999">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399999999999999">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399999999999999">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399999999999999">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399999999999999">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399999999999999">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399999999999999">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399999999999999">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399999999999999">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399999999999999">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399999999999999">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399999999999999">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399999999999999">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399999999999999">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399999999999999">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399999999999999">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399999999999999">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399999999999999">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399999999999999">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399999999999999">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399999999999999">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399999999999999">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399999999999999">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399999999999999">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399999999999999">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399999999999999">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399999999999999">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399999999999999">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399999999999999">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399999999999999">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399999999999999">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399999999999999">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399999999999999">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399999999999999">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399999999999999">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399999999999999">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399999999999999">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399999999999999">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399999999999999">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399999999999999">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399999999999999">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399999999999999">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399999999999999">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399999999999999">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399999999999999">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399999999999999">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399999999999999">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399999999999999">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399999999999999">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399999999999999">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399999999999999">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399999999999999">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399999999999999">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399999999999999">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399999999999999">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399999999999999">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399999999999999">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399999999999999">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399999999999999">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399999999999999">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399999999999999">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399999999999999">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399999999999999">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399999999999999">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399999999999999">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399999999999999">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399999999999999">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399999999999999">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399999999999999">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399999999999999">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399999999999999">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399999999999999">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399999999999999">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399999999999999">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399999999999999">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399999999999999">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399999999999999">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399999999999999">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399999999999999">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399999999999999">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399999999999999">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399999999999999">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399999999999999">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399999999999999">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399999999999999">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399999999999999">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399999999999999">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399999999999999">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399999999999999">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399999999999999">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399999999999999">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399999999999999">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399999999999999">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399999999999999">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399999999999999">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399999999999999">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399999999999999">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399999999999999">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399999999999999">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399999999999999">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399999999999999">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399999999999999">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399999999999999">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399999999999999">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399999999999999">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399999999999999">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399999999999999">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399999999999999">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399999999999999">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399999999999999">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399999999999999">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399999999999999">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399999999999999">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399999999999999">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399999999999999">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399999999999999">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399999999999999">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399999999999999">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399999999999999">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399999999999999">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399999999999999">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399999999999999">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399999999999999">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399999999999999">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399999999999999">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399999999999999">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399999999999999">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399999999999999">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399999999999999">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399999999999999">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399999999999999">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399999999999999">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399999999999999">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399999999999999">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399999999999999">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399999999999999">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399999999999999">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399999999999999">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399999999999999">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399999999999999">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399999999999999">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399999999999999">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399999999999999">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399999999999999">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399999999999999">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399999999999999">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399999999999999">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399999999999999">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399999999999999">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399999999999999">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399999999999999">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399999999999999">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399999999999999">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399999999999999">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399999999999999">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399999999999999">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399999999999999">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399999999999999">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399999999999999">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399999999999999">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399999999999999">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399999999999999">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399999999999999">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399999999999999">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399999999999999">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399999999999999">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399999999999999">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399999999999999">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399999999999999">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399999999999999">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399999999999999">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399999999999999">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399999999999999">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399999999999999">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399999999999999">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399999999999999">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399999999999999">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399999999999999">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399999999999999">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399999999999999">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399999999999999">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399999999999999">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399999999999999">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399999999999999">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399999999999999">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399999999999999">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399999999999999">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399999999999999">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399999999999999">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399999999999999">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399999999999999">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399999999999999">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399999999999999">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399999999999999">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399999999999999">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399999999999999">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399999999999999">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399999999999999">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399999999999999">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399999999999999">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399999999999999">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399999999999999">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399999999999999">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399999999999999">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399999999999999">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399999999999999">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399999999999999">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399999999999999">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399999999999999">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399999999999999">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399999999999999">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399999999999999">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399999999999999">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399999999999999">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399999999999999">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399999999999999">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399999999999999">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399999999999999">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399999999999999">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399999999999999">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399999999999999">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399999999999999">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399999999999999">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399999999999999">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399999999999999">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399999999999999">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399999999999999">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399999999999999">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399999999999999">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399999999999999">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399999999999999">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399999999999999">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399999999999999">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399999999999999">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399999999999999">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399999999999999">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399999999999999">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399999999999999">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399999999999999">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399999999999999">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399999999999999">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399999999999999">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399999999999999">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399999999999999">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399999999999999">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399999999999999">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399999999999999">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399999999999999">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399999999999999">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399999999999999">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399999999999999">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399999999999999">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399999999999999">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399999999999999">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399999999999999">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399999999999999">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399999999999999">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399999999999999">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399999999999999">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399999999999999">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399999999999999">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399999999999999">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399999999999999">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399999999999999">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399999999999999">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399999999999999">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399999999999999">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399999999999999">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399999999999999">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399999999999999">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399999999999999">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399999999999999">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399999999999999">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399999999999999">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399999999999999">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399999999999999">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399999999999999">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399999999999999">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399999999999999">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399999999999999">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399999999999999">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399999999999999">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399999999999999">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399999999999999">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8"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2"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49" priority="30" stopIfTrue="1">
      <formula>IF(B586="",TRUE)</formula>
    </cfRule>
    <cfRule type="expression" dxfId="48" priority="41" stopIfTrue="1">
      <formula>IF(AND(COUNTIF(MetalSmelter,B586&amp;C586)=0,LEN(C586)&gt;0), TRUE, FALSE)</formula>
    </cfRule>
  </conditionalFormatting>
  <conditionalFormatting sqref="D586:D2493">
    <cfRule type="expression" dxfId="47" priority="24" stopIfTrue="1">
      <formula>IF(AND(LEN($C586) &gt;0, ($C586 &lt;&gt; "Smelter Not Listed")),1,0)</formula>
    </cfRule>
    <cfRule type="expression" dxfId="46" priority="49" stopIfTrue="1">
      <formula>IF(AND(D586="",$C586=$X$4),TRUE)</formula>
    </cfRule>
    <cfRule type="expression" dxfId="45" priority="50" stopIfTrue="1">
      <formula>IF(FIND("!",D586),TRUE)</formula>
    </cfRule>
  </conditionalFormatting>
  <conditionalFormatting sqref="G586:G2493">
    <cfRule type="expression" dxfId="44" priority="51" stopIfTrue="1">
      <formula>IF(FIND("Enter smelter details",G586),TRUE)</formula>
    </cfRule>
  </conditionalFormatting>
  <conditionalFormatting sqref="R586:R2494 E586:E2493">
    <cfRule type="expression" dxfId="43" priority="37" stopIfTrue="1">
      <formula>IF(AND(E586="",$C586=$X$4),TRUE)</formula>
    </cfRule>
    <cfRule type="expression" dxfId="42" priority="38" stopIfTrue="1">
      <formula>IF(FIND("!",E586),TRUE)</formula>
    </cfRule>
  </conditionalFormatting>
  <conditionalFormatting sqref="F586:F2493">
    <cfRule type="expression" dxfId="41" priority="28" stopIfTrue="1">
      <formula>IF(AND(LEN($A586)&gt;0,$A586&lt;&gt;$F586),TRUE,FALSE)</formula>
    </cfRule>
  </conditionalFormatting>
  <conditionalFormatting sqref="C586:C2493">
    <cfRule type="expression" dxfId="40" priority="27" stopIfTrue="1">
      <formula>IF(AND(B586&lt;&gt;"",C586=""),TRUE)</formula>
    </cfRule>
  </conditionalFormatting>
  <conditionalFormatting sqref="B11:B585">
    <cfRule type="expression" dxfId="39" priority="6" stopIfTrue="1">
      <formula>IF(B11="",TRUE)</formula>
    </cfRule>
    <cfRule type="expression" dxfId="38" priority="9" stopIfTrue="1">
      <formula>IF(AND(COUNTIF(MetalSmelter,B11&amp;C11)=0,LEN(C11)&gt;0), TRUE, FALSE)</formula>
    </cfRule>
  </conditionalFormatting>
  <conditionalFormatting sqref="D5:D585">
    <cfRule type="expression" dxfId="37" priority="3" stopIfTrue="1">
      <formula>IF(AND(LEN($C5) &gt;0, ($C5 &lt;&gt; "Smelter Not Listed")),1,0)</formula>
    </cfRule>
    <cfRule type="expression" dxfId="36" priority="10" stopIfTrue="1">
      <formula>IF(AND(D5="",$C5=$X$4),TRUE)</formula>
    </cfRule>
    <cfRule type="expression" dxfId="35" priority="11" stopIfTrue="1">
      <formula>IF(FIND("!",D5),TRUE)</formula>
    </cfRule>
  </conditionalFormatting>
  <conditionalFormatting sqref="G5:G585">
    <cfRule type="expression" dxfId="34" priority="12" stopIfTrue="1">
      <formula>IF(FIND("Enter smelter details",G5),TRUE)</formula>
    </cfRule>
  </conditionalFormatting>
  <conditionalFormatting sqref="R5:R585 E5:E585">
    <cfRule type="expression" dxfId="33" priority="7" stopIfTrue="1">
      <formula>IF(AND(E5="",$C5=$X$4),TRUE)</formula>
    </cfRule>
    <cfRule type="expression" dxfId="32" priority="8" stopIfTrue="1">
      <formula>IF(FIND("!",E5),TRUE)</formula>
    </cfRule>
  </conditionalFormatting>
  <conditionalFormatting sqref="F5:F585">
    <cfRule type="expression" dxfId="31" priority="5" stopIfTrue="1">
      <formula>IF(AND(LEN($A5)&gt;0,$A5&lt;&gt;$F5),TRUE,FALSE)</formula>
    </cfRule>
  </conditionalFormatting>
  <conditionalFormatting sqref="C5:C585">
    <cfRule type="expression" dxfId="30" priority="4" stopIfTrue="1">
      <formula>IF(AND(B5&lt;&gt;"",C5=""),TRUE)</formula>
    </cfRule>
  </conditionalFormatting>
  <conditionalFormatting sqref="B5:B10">
    <cfRule type="expression" dxfId="29" priority="1" stopIfTrue="1">
      <formula>IF(B5="",TRUE)</formula>
    </cfRule>
    <cfRule type="expression" dxfId="28" priority="2" stopIfTrue="1">
      <formula>IF(AND(COUNTIF(MetalSmelter,B5&amp;C5)=0,LEN(C5)&gt;0), TRUE, FALSE)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 right="0" top="0" bottom="0" header="0" footer="0"/>
  <pageSetup scale="5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1640625" defaultRowHeight="12.6"/>
  <cols>
    <col min="1" max="1" width="45.1796875" style="22" customWidth="1"/>
    <col min="2" max="2" width="42.81640625" style="25" customWidth="1"/>
    <col min="3" max="3" width="51.453125" style="22" customWidth="1"/>
    <col min="4" max="4" width="29.1796875" style="25" customWidth="1"/>
    <col min="5" max="5" width="9" style="24" hidden="1" customWidth="1"/>
    <col min="6" max="6" width="13.453125" style="22" hidden="1" customWidth="1"/>
    <col min="7" max="7" width="13.36328125" style="22" hidden="1" customWidth="1"/>
    <col min="8" max="8" width="9" style="22" hidden="1" customWidth="1"/>
    <col min="9" max="9" width="9" style="180" hidden="1" customWidth="1"/>
    <col min="10" max="10" width="48.81640625" style="22" hidden="1" customWidth="1"/>
    <col min="11" max="11" width="9" style="22" hidden="1" customWidth="1"/>
    <col min="12" max="12" width="8.81640625" style="22" hidden="1" customWidth="1"/>
    <col min="13" max="18" width="8.81640625" style="22" customWidth="1"/>
    <col min="19" max="16384" width="8.81640625" style="22"/>
  </cols>
  <sheetData>
    <row r="1" spans="1:10" ht="32.4">
      <c r="A1" s="445" t="str">
        <f ca="1">OFFSET(L!$C$1,MATCH("Checker"&amp;ADDRESS(ROW(),COLUMN(),4),L!$A:$A,0)-1,SL,,)</f>
        <v>To ensure all required fields have been populated before submitting to your customers review form for any line items highlighted in red</v>
      </c>
      <c r="B1" s="445"/>
      <c r="C1" s="445"/>
      <c r="D1" s="150" t="str">
        <f ca="1">OFFSET(L!$C$1,MATCH("Checker"&amp;ADDRESS(ROW(),COLUMN(),4),L!$A:$A,0)-1,SL,,)</f>
        <v>Required fields remaining to be completed</v>
      </c>
      <c r="E1" s="87" t="s">
        <v>917</v>
      </c>
    </row>
    <row r="2" spans="1:10" ht="16.2">
      <c r="A2" s="80" t="s">
        <v>1014</v>
      </c>
      <c r="B2" s="81" t="str">
        <f>IF(F62=1,"Click here to return to Smelter List","")</f>
        <v/>
      </c>
      <c r="C2" s="154" t="str">
        <f>IF(F61=1,"Click here to return to Product List","")</f>
        <v/>
      </c>
      <c r="D2" s="185" t="str">
        <f ca="1">IF(H67=0,"0",H67)</f>
        <v>0</v>
      </c>
    </row>
    <row r="3" spans="1:10" ht="16.2">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Precious Metal Sales, Inc.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Krista Upson</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krista@pmsalesinc.com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f>Declaration!D17</f>
        <v>8602748813</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Anthony Luccaro</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here4u@pmsalesinc.com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f>Declaration!D21</f>
        <v>8602748813</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43587</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
      <c r="A14" s="105" t="str">
        <f ca="1">Declaration!B25</f>
        <v>1) Is any 3TG intentionally added or used in the product(s) or in the production process? (*)</v>
      </c>
      <c r="B14" s="108"/>
      <c r="C14" s="108"/>
      <c r="D14" s="112"/>
      <c r="E14" s="87" t="s">
        <v>921</v>
      </c>
      <c r="F14" s="109"/>
      <c r="G14" s="24"/>
      <c r="H14" s="86">
        <f t="shared" si="2"/>
        <v>0</v>
      </c>
    </row>
    <row r="15" spans="1:10" ht="26.4">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 xml:space="preserve">Tin  </v>
      </c>
      <c r="B16" s="105" t="str">
        <f>Declaration!D27</f>
        <v>No</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0.4">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 xml:space="preserve">Tin  </v>
      </c>
      <c r="B21" s="105">
        <f>IF($B$16="Yes",Declaration!D33,0)</f>
        <v>0</v>
      </c>
      <c r="C21" s="105" t="str">
        <f t="shared" ca="1" si="3"/>
        <v>Complete</v>
      </c>
      <c r="D21" s="113" t="str">
        <f>IF(H21=1,"Click here to answer question 2 for Tin","")</f>
        <v/>
      </c>
      <c r="E21" s="87" t="s">
        <v>918</v>
      </c>
      <c r="F21" s="110">
        <f>IF(B$16="No",0,1)</f>
        <v>0</v>
      </c>
      <c r="G21" s="84">
        <f t="shared" si="4"/>
        <v>1</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 xml:space="preserve">Tin  </v>
      </c>
      <c r="B26" s="105">
        <f>IF(AND($B$16="Yes",$B$21="Yes"),Declaration!D39,0)</f>
        <v>0</v>
      </c>
      <c r="C26" s="105" t="str">
        <f t="shared" ca="1" si="3"/>
        <v>Complete</v>
      </c>
      <c r="D26" s="113" t="str">
        <f>IF(H26=1,"Click here to answer question 3 for Tin","")</f>
        <v/>
      </c>
      <c r="E26" s="87" t="s">
        <v>918</v>
      </c>
      <c r="F26" s="110">
        <f>IF(OR(B16="No",B21="No"),0,1)</f>
        <v>0</v>
      </c>
      <c r="G26" s="84">
        <f t="shared" si="5"/>
        <v>1</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 xml:space="preserve">Tin  </v>
      </c>
      <c r="B31" s="105">
        <f>IF(AND($B$16="Yes",$B$21="Yes"),Declaration!D45,0)</f>
        <v>0</v>
      </c>
      <c r="C31" s="105" t="str">
        <f ca="1">IF(H31=1,J31,I31)</f>
        <v>Complete</v>
      </c>
      <c r="D31" s="113" t="str">
        <f>IF(H31=1,"Click here to answer question 4 for Tin","")</f>
        <v/>
      </c>
      <c r="E31" s="87" t="s">
        <v>1437</v>
      </c>
      <c r="F31" s="110">
        <f>F26</f>
        <v>0</v>
      </c>
      <c r="G31" s="84">
        <f>IF(B31=0,1,0)</f>
        <v>1</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5" t="str">
        <f ca="1">Declaration!B49</f>
        <v>5) What percentage of relevant suppliers have provided a response to your supply chain survey?  (*)</v>
      </c>
      <c r="B34" s="108"/>
      <c r="C34" s="108"/>
      <c r="D34" s="112"/>
      <c r="E34" s="87" t="s">
        <v>918</v>
      </c>
      <c r="F34" s="109"/>
      <c r="G34" s="24"/>
      <c r="H34" s="24"/>
    </row>
    <row r="35" spans="1:10" ht="26.4">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4">
      <c r="A36" s="106" t="str">
        <f ca="1">Declaration!B51</f>
        <v xml:space="preserve">Tin  </v>
      </c>
      <c r="B36" s="105">
        <f>IF(AND($B$16="Yes",$B$21="Yes"),Declaration!D51,0)</f>
        <v>0</v>
      </c>
      <c r="C36" s="105" t="str">
        <f ca="1">IF(H36=1,J36,I36)</f>
        <v>Complete</v>
      </c>
      <c r="D36" s="111" t="str">
        <f>IF(H36=1,"Click here to answer question 5 for Tin","")</f>
        <v/>
      </c>
      <c r="E36" s="87" t="s">
        <v>917</v>
      </c>
      <c r="F36" s="110">
        <f>F26</f>
        <v>0</v>
      </c>
      <c r="G36" s="84">
        <f t="shared" si="5"/>
        <v>1</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4">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4">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0.4">
      <c r="A39" s="105" t="str">
        <f ca="1">Declaration!B55</f>
        <v>6) Have you identified all of the smelters supplying the 3TG to your supply chain?  (*)</v>
      </c>
      <c r="B39" s="108"/>
      <c r="C39" s="108"/>
      <c r="D39" s="112"/>
      <c r="E39" s="87" t="s">
        <v>919</v>
      </c>
      <c r="F39" s="109"/>
      <c r="G39" s="24"/>
      <c r="H39" s="24"/>
    </row>
    <row r="40" spans="1:10" ht="51.6">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6" t="str">
        <f ca="1">Declaration!B57</f>
        <v xml:space="preserve">Tin  </v>
      </c>
      <c r="B41" s="105">
        <f>IF(AND($B$16="Yes",$B$21="Yes"),Declaration!D57,0)</f>
        <v>0</v>
      </c>
      <c r="C41" s="105" t="str">
        <f t="shared" ca="1" si="3"/>
        <v>Complete</v>
      </c>
      <c r="D41" s="113" t="str">
        <f>IF(H41=1,"Click here to answer question 6 for Tin","")</f>
        <v/>
      </c>
      <c r="E41" s="87" t="s">
        <v>1433</v>
      </c>
      <c r="F41" s="110">
        <f>F26</f>
        <v>0</v>
      </c>
      <c r="G41" s="84">
        <f t="shared" si="5"/>
        <v>1</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 xml:space="preserve">Tin  </v>
      </c>
      <c r="B46" s="105">
        <f>IF(AND($B$16="Yes",$B$21="Yes"),Declaration!D63,0)</f>
        <v>0</v>
      </c>
      <c r="C46" s="105" t="str">
        <f t="shared" ca="1" si="3"/>
        <v>Complete</v>
      </c>
      <c r="D46" s="114" t="str">
        <f>IF(H46=1,"Click here to answer question 7 for Tin","")</f>
        <v/>
      </c>
      <c r="E46" s="87" t="s">
        <v>918</v>
      </c>
      <c r="F46" s="110">
        <f>F26</f>
        <v>0</v>
      </c>
      <c r="G46" s="84">
        <f t="shared" si="5"/>
        <v>1</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2">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No</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49999999999997"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0.4">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One or more product / item numbers have been provided</v>
      </c>
      <c r="C61" s="105" t="str">
        <f t="shared" ca="1" si="3"/>
        <v>Complete</v>
      </c>
      <c r="D61" s="111" t="str">
        <f>IF(H61=1,"Click here to enter detail on Product List tab","")</f>
        <v/>
      </c>
      <c r="E61" s="87" t="s">
        <v>1437</v>
      </c>
      <c r="F61" s="110">
        <f>IF(B5=Declaration!Q9,1,0)</f>
        <v>0</v>
      </c>
      <c r="G61" s="84">
        <f>IF('Product List'!B6="",1,0)</f>
        <v>0</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IF(K63=1,L63,IF(B16="No","Not Required",IF(G63=0,I63,J63)))</f>
        <v>Not Required</v>
      </c>
      <c r="D63" s="111" t="str">
        <f>IF(H63=0,"","Click here to provide smelter information")</f>
        <v/>
      </c>
      <c r="E63" s="87" t="s">
        <v>918</v>
      </c>
      <c r="F63" s="110">
        <f>F26</f>
        <v>0</v>
      </c>
      <c r="G63" s="84">
        <f>IF(AND(COUNTIF(SmelterIdetifiedForMetal,"Tin")&gt;0,COUNTIF('Smelter List'!AB$5:AB$2493,"Tin?*")&gt;0),0,1)</f>
        <v>1</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2">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7" priority="337" stopIfTrue="1">
      <formula>IF(F62=0,TRUE)</formula>
    </cfRule>
  </conditionalFormatting>
  <conditionalFormatting sqref="A5:A13">
    <cfRule type="expression" dxfId="26" priority="45" stopIfTrue="1">
      <formula>$F5=0</formula>
    </cfRule>
    <cfRule type="expression" dxfId="25" priority="46" stopIfTrue="1">
      <formula>AND($F5=1,$G5=0)</formula>
    </cfRule>
    <cfRule type="expression" dxfId="24" priority="47" stopIfTrue="1">
      <formula>AND($F5&lt;&gt;0,$G5&lt;&gt;0)</formula>
    </cfRule>
  </conditionalFormatting>
  <conditionalFormatting sqref="B61">
    <cfRule type="expression" dxfId="23" priority="43" stopIfTrue="1">
      <formula>$F61=0</formula>
    </cfRule>
  </conditionalFormatting>
  <conditionalFormatting sqref="D52">
    <cfRule type="expression" dxfId="22" priority="354" stopIfTrue="1">
      <formula>$H$52=0</formula>
    </cfRule>
  </conditionalFormatting>
  <conditionalFormatting sqref="B63">
    <cfRule type="expression" dxfId="21" priority="35" stopIfTrue="1">
      <formula>IF(F63=0,TRUE)</formula>
    </cfRule>
  </conditionalFormatting>
  <conditionalFormatting sqref="B64">
    <cfRule type="expression" dxfId="20" priority="31" stopIfTrue="1">
      <formula>IF(F64=0,TRUE)</formula>
    </cfRule>
  </conditionalFormatting>
  <conditionalFormatting sqref="B65:B66">
    <cfRule type="expression" dxfId="19" priority="27" stopIfTrue="1">
      <formula>IF(F65=0,TRUE)</formula>
    </cfRule>
  </conditionalFormatting>
  <conditionalFormatting sqref="C66">
    <cfRule type="expression" dxfId="18" priority="9" stopIfTrue="1">
      <formula>C66="Not Required"</formula>
    </cfRule>
    <cfRule type="expression" dxfId="17" priority="17" stopIfTrue="1">
      <formula>OR(C66="Complete",C66="填写", C66="記入",C66="완료",C66="Complétez",C66="Concluído",C66="Vollständig",C66="Completare",C66="Doldurun")</formula>
    </cfRule>
  </conditionalFormatting>
  <conditionalFormatting sqref="A66">
    <cfRule type="expression" dxfId="16" priority="10" stopIfTrue="1">
      <formula>C66="Not Required"</formula>
    </cfRule>
    <cfRule type="expression" dxfId="15"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4" priority="343" stopIfTrue="1">
      <formula>$F4=0</formula>
    </cfRule>
    <cfRule type="expression" dxfId="13" priority="344" stopIfTrue="1">
      <formula>$H4=0</formula>
    </cfRule>
    <cfRule type="expression" dxfId="12" priority="345" stopIfTrue="1">
      <formula>$H4=1</formula>
    </cfRule>
  </conditionalFormatting>
  <conditionalFormatting sqref="C66 A66">
    <cfRule type="expression" dxfId="11" priority="7" stopIfTrue="1">
      <formula>IF(AND($F$66=1,$G$66=1),TRUE,FALSE)</formula>
    </cfRule>
  </conditionalFormatting>
  <conditionalFormatting sqref="A62:A65">
    <cfRule type="expression" dxfId="10" priority="4" stopIfTrue="1">
      <formula>$F62=0</formula>
    </cfRule>
    <cfRule type="expression" dxfId="9" priority="5" stopIfTrue="1">
      <formula>$H62=0</formula>
    </cfRule>
    <cfRule type="expression" dxfId="8" priority="6" stopIfTrue="1">
      <formula>$H62=1</formula>
    </cfRule>
  </conditionalFormatting>
  <conditionalFormatting sqref="C62:C65">
    <cfRule type="expression" dxfId="7" priority="1" stopIfTrue="1">
      <formula>$F62=0</formula>
    </cfRule>
    <cfRule type="expression" dxfId="6" priority="2" stopIfTrue="1">
      <formula>$H62=0</formula>
    </cfRule>
    <cfRule type="expression" dxfId="5"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7" sqref="D7"/>
    </sheetView>
  </sheetViews>
  <sheetFormatPr defaultColWidth="8.81640625" defaultRowHeight="12.6"/>
  <cols>
    <col min="1" max="1" width="3.1796875" style="120" customWidth="1"/>
    <col min="2" max="2" width="39.81640625" style="121" customWidth="1"/>
    <col min="3" max="3" width="39.81640625" style="120" customWidth="1"/>
    <col min="4" max="4" width="58.81640625" style="120" customWidth="1"/>
    <col min="5" max="5" width="1.6328125" style="120" customWidth="1"/>
    <col min="6" max="6" width="9" customWidth="1"/>
    <col min="7" max="16384" width="8.8164062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9"/>
    </row>
    <row r="2" spans="1:6" ht="13.2">
      <c r="A2" s="29"/>
      <c r="B2" s="151"/>
      <c r="C2" s="151"/>
      <c r="D2"/>
      <c r="E2" s="30"/>
    </row>
    <row r="3" spans="1:6" ht="13.2">
      <c r="A3" s="29"/>
      <c r="B3" s="151"/>
      <c r="C3" s="151"/>
      <c r="D3" s="151"/>
      <c r="E3" s="30"/>
    </row>
    <row r="4" spans="1:6" ht="15.75" customHeight="1">
      <c r="A4" s="29"/>
      <c r="B4" s="446" t="s">
        <v>1014</v>
      </c>
      <c r="C4" s="446"/>
      <c r="D4" s="446"/>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30">
      <c r="A6" s="161"/>
      <c r="B6" s="152" t="s">
        <v>15498</v>
      </c>
      <c r="C6" s="115" t="s">
        <v>15499</v>
      </c>
      <c r="D6" s="115" t="s">
        <v>15500</v>
      </c>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35" customHeight="1" thickBot="1">
      <c r="A1001" s="163"/>
      <c r="B1001" s="449" t="str">
        <f ca="1">OFFSET(L!$C$1,MATCH("General"&amp;"Cpy",L!$A:$A,0)-1,SL,,)</f>
        <v>© 2019 Responsible Minerals Initiative. All rights reserved.</v>
      </c>
      <c r="C1001" s="449"/>
      <c r="D1001" s="449"/>
      <c r="E1001" s="31"/>
    </row>
    <row r="1002" spans="1:6" ht="13.2"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1640625" defaultRowHeight="12.6"/>
  <cols>
    <col min="1" max="1" width="9.1796875" style="225" bestFit="1" customWidth="1"/>
    <col min="2" max="2" width="42.81640625" style="225" customWidth="1"/>
    <col min="3" max="3" width="63.81640625" style="225" customWidth="1"/>
    <col min="4" max="4" width="25.453125" style="225" customWidth="1"/>
    <col min="5" max="5" width="12.6328125" style="225" customWidth="1"/>
    <col min="6" max="6" width="12.6328125" style="226" customWidth="1"/>
    <col min="7" max="7" width="15.36328125" style="225" customWidth="1"/>
    <col min="8" max="8" width="23.81640625" style="225" customWidth="1"/>
    <col min="9" max="9" width="28.1796875" style="225" customWidth="1"/>
    <col min="10" max="10" width="48.26953125" style="225" hidden="1" customWidth="1"/>
    <col min="11" max="11" width="49.7265625" style="225" hidden="1" customWidth="1"/>
    <col min="12" max="13" width="49.7265625" style="225" customWidth="1"/>
    <col min="14" max="16384" width="8.81640625" style="225"/>
  </cols>
  <sheetData>
    <row r="1" spans="1:16" ht="168.45"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28" customFormat="1" ht="50.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4"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1640625" defaultRowHeight="13.8"/>
  <cols>
    <col min="1" max="1" width="14.6328125" style="278" customWidth="1"/>
    <col min="2" max="2" width="14" style="278" customWidth="1"/>
    <col min="3" max="3" width="6.1796875" style="278" customWidth="1"/>
    <col min="4" max="4" width="56.26953125" style="278" customWidth="1"/>
    <col min="5" max="5" width="53.7265625" style="246" customWidth="1"/>
    <col min="6" max="6" width="54.1796875" style="278" customWidth="1"/>
    <col min="7" max="7" width="68.26953125" style="278" customWidth="1"/>
    <col min="8" max="8" width="49.26953125" style="278" customWidth="1"/>
    <col min="9" max="9" width="51.6328125" style="278" customWidth="1"/>
    <col min="10" max="10" width="50.26953125" style="278" customWidth="1"/>
    <col min="11" max="11" width="51.81640625" style="229" customWidth="1"/>
    <col min="12" max="12" width="66.81640625" style="344" customWidth="1"/>
    <col min="13" max="13" width="46.1796875" style="281" customWidth="1"/>
    <col min="14" max="16384" width="8.8164062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2.8">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4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48.4">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1.4">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6">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6">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1.4">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1.4">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1.4">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1.4">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69">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6">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2.8">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6">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9">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6">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1.4">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1.4">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38.6">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5.2">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6">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1.4">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60">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4.2">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30.4">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5.2">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5.2">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1.4">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7.6">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62.2">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86.4">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0.8">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5.2">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0.8">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4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1.6">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7.2">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86.4">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6.4">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1.4">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6">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6.4">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9">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5.2">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3.4">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2.8">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82.8">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10.4">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9">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2">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2">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0.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17.39999999999998">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2.8">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9.4">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193.2">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5.2">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1.4">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193.2">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6">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03.60000000000002">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51.80000000000001">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38">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89.8">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6.6">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1.4">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7.6">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7">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6">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6">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6">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6">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6">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6">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6">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2.8">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6.4">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24.2">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51.80000000000001">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9">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8">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0.4">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8">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6">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0.8">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10.4">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7.39999999999998">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7">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6">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9">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6">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51.8000000000000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96.6">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76">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48.4">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6">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8">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2.8">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07">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93.2">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9.4">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6">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6">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1.4">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2">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5.2">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6">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6">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6">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6">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6">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8.8">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4">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0.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37.799999999999997">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8.8">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8.8">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7.799999999999997">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8.8">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5.2">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1.4">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0.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7">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8.8">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1.4">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6">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8.8">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4">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4">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4">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4">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4">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14.4">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14.4">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6">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6">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6">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6">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6">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6">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6">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6">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6">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6">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6">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6">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4">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6">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1.4">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1.4">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5.2">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6">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1.4">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6">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5.2">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6">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6">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6">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6">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6">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6">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1.4">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1.4">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1.4">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6">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1.4">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1.4">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6">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1.4">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5.2">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5.2">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5.2">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5.2">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69">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69">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69">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69">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55.2">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55.2">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5.2">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55.2">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1.4">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1.4">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1.4">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1.4">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5.2">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5.2">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5.2">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5.2">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1.4">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1.4">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1.4">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1.4">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1.4">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5.2">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5.2">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1.4">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2.8">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41.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1.4">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1.4">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1.4">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1.4">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27.6">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1.4">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1.4">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1.4">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1.4">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6">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6">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6">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6">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1.4">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2">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6">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2.8">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6">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6">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9">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6">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6">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6.6">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Krista</cp:lastModifiedBy>
  <cp:lastPrinted>2019-05-02T20:03:14Z</cp:lastPrinted>
  <dcterms:created xsi:type="dcterms:W3CDTF">2010-06-21T21:00:23Z</dcterms:created>
  <dcterms:modified xsi:type="dcterms:W3CDTF">2019-05-02T21:25:07Z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