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mc:AlternateContent xmlns:mc="http://schemas.openxmlformats.org/markup-compatibility/2006">
    <mc:Choice Requires="x15">
      <x15ac:absPath xmlns:x15ac="http://schemas.microsoft.com/office/spreadsheetml/2010/11/ac" url="C:\Users\krista\Documents\Documents\Documents\Conflict Metals\"/>
    </mc:Choice>
  </mc:AlternateContent>
  <xr:revisionPtr revIDLastSave="0" documentId="13_ncr:1_{DC3058CE-A80B-475F-A41A-9AF873920789}" xr6:coauthVersionLast="44" xr6:coauthVersionMax="44"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C6" i="5" l="1"/>
  <c r="C7"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5" i="5" s="1"/>
  <c r="V5" i="5" s="1"/>
  <c r="T6" i="5"/>
  <c r="R5" i="5" l="1"/>
  <c r="E5" i="5"/>
  <c r="X5" i="5" s="1"/>
  <c r="F5" i="5"/>
  <c r="I5" i="5"/>
  <c r="G5" i="5"/>
  <c r="AB5" i="5"/>
  <c r="J5" i="5"/>
  <c r="C9" i="6"/>
  <c r="B32" i="6"/>
  <c r="C10" i="6"/>
  <c r="C12" i="6"/>
  <c r="C11"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T5"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<sst xmlns="http://schemas.openxmlformats.org/spreadsheetml/2006/main" count="21807" uniqueCount="15520">
  <si>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</si>
  <si>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</si>
  <si>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</si>
  <si>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</si>
  <si>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</si>
  <si>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</si>
  <si>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</si>
  <si>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</si>
  <si>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</si>
  <si>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</si>
  <si>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</si>
  <si>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</si>
  <si>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</si>
  <si>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</si>
  <si>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</si>
  <si>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</si>
  <si>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</si>
  <si>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</si>
  <si>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</si>
  <si>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</si>
  <si>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</si>
  <si>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</si>
  <si>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</si>
  <si>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</si>
  <si>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</si>
  <si>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</si>
  <si>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</si>
  <si>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</si>
  <si>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</si>
  <si>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</si>
  <si>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</si>
  <si>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</si>
  <si>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</si>
  <si>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</si>
  <si>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</si>
  <si>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</si>
  <si>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</si>
  <si>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</si>
  <si>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</si>
  <si>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</si>
  <si>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</si>
  <si>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</si>
  <si>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</si>
  <si>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</si>
  <si>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</si>
  <si>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</si>
  <si>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</si>
  <si>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</si>
  <si>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</si>
  <si>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</si>
  <si>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</si>
  <si>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</si>
  <si>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</si>
  <si>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</si>
  <si>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</si>
  <si>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</si>
  <si>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</si>
  <si>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</si>
  <si>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</si>
  <si>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</si>
  <si>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</si>
  <si>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</si>
  <si>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</si>
  <si>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</si>
  <si>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</si>
  <si>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</si>
  <si>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</si>
  <si>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</si>
  <si>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</si>
  <si>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</si>
  <si>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</si>
  <si>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</si>
  <si>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</si>
  <si>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</si>
  <si>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</si>
  <si>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</si>
  <si>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</si>
  <si>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</si>
  <si>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</si>
  <si>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</si>
  <si>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</si>
  <si>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</si>
  <si>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</si>
  <si>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</si>
  <si>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</si>
  <si>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</si>
  <si>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</si>
  <si>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</si>
  <si>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</si>
  <si>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</si>
  <si>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</si>
  <si>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</si>
  <si>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</si>
  <si>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</si>
  <si>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</si>
  <si>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</si>
  <si>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</si>
  <si>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</si>
  <si>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</si>
  <si>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</si>
  <si>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</si>
  <si>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</si>
  <si>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</si>
  <si>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</si>
  <si>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</si>
  <si>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</si>
  <si>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</si>
  <si>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</si>
  <si>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</si>
  <si>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</si>
  <si>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</si>
  <si>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</si>
  <si>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</si>
  <si>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</si>
  <si>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</si>
  <si>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</si>
  <si>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</si>
  <si>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</si>
  <si>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</si>
  <si>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</si>
  <si>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</si>
  <si>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</si>
  <si>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</si>
  <si>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</si>
  <si>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</si>
  <si>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</si>
  <si>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</si>
  <si>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</si>
  <si>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</si>
  <si>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</si>
  <si>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</si>
  <si>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</si>
  <si>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</si>
  <si>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</si>
  <si>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</si>
  <si>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</si>
  <si>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</si>
  <si>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</si>
  <si>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</si>
  <si>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</si>
  <si>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</si>
  <si>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</si>
  <si>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</si>
  <si>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</si>
  <si>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</si>
  <si>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</si>
  <si>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</si>
  <si>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</si>
  <si>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</si>
  <si>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</si>
  <si>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</si>
  <si>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</si>
  <si>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</si>
  <si>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</si>
  <si>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</si>
  <si>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</si>
  <si>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</si>
  <si>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</si>
  <si>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</si>
  <si>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</si>
  <si>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</si>
  <si>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</si>
  <si>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</si>
  <si>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</si>
  <si>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</si>
  <si>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</si>
  <si>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</si>
  <si>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</si>
  <si>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</si>
  <si>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</si>
  <si>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</si>
  <si>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</si>
  <si>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</si>
  <si>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</si>
  <si>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</si>
  <si>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</si>
  <si>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</si>
  <si>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</si>
  <si>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</si>
  <si>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</si>
  <si>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</si>
  <si>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</si>
  <si>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</si>
  <si>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</si>
  <si>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</si>
  <si>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</si>
  <si>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</si>
  <si>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</si>
  <si>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</si>
  <si>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</si>
  <si>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</si>
  <si>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</si>
  <si>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</si>
  <si>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</si>
  <si>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</si>
  <si>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</si>
  <si>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</si>
  <si>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</si>
  <si>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</si>
  <si>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</si>
  <si>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</si>
  <si>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</si>
  <si>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</si>
  <si>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</si>
  <si>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</si>
  <si>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</si>
  <si>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</si>
  <si>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</si>
  <si>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</si>
  <si>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</si>
  <si>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</si>
  <si>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</si>
  <si>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</si>
  <si>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</si>
  <si>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</si>
  <si>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</si>
  <si>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</si>
  <si>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</si>
  <si>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</si>
  <si>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</si>
  <si>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</si>
  <si>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</si>
  <si>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</si>
  <si>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</si>
  <si>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</si>
  <si>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</si>
  <si>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</si>
  <si>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</si>
  <si>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</si>
  <si>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</si>
  <si>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</si>
  <si>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</si>
  <si>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</si>
  <si>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</si>
  <si>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</si>
  <si>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</si>
  <si>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</si>
  <si>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</si>
  <si>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</si>
  <si>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</si>
  <si>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</si>
  <si>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</si>
  <si>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</si>
  <si>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</si>
  <si>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</si>
  <si>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</si>
  <si>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</si>
  <si>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</si>
  <si>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</si>
  <si>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</si>
  <si>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</si>
  <si>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</si>
  <si>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</si>
  <si>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</si>
  <si>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</si>
  <si>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</si>
  <si>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</si>
  <si>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</si>
  <si>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</si>
  <si>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</si>
  <si>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</si>
  <si>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</si>
  <si>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</si>
  <si>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</si>
  <si>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</si>
  <si>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</si>
  <si>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</si>
  <si>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</si>
  <si>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</si>
  <si>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</si>
  <si>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</si>
  <si>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</si>
  <si>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</si>
  <si>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</si>
  <si>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</si>
  <si>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</si>
  <si>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</si>
  <si>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</si>
  <si>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</si>
  <si>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</si>
  <si>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</si>
  <si>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</si>
  <si>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</si>
  <si>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</si>
  <si>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</si>
  <si>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</si>
  <si>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</si>
  <si>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</si>
  <si>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</si>
  <si>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</si>
  <si>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</si>
  <si>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</si>
  <si>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</si>
  <si>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</si>
  <si>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</si>
  <si>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</si>
  <si>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</si>
  <si>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</si>
  <si>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</si>
  <si>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</si>
  <si>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</si>
  <si>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</si>
  <si>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</si>
  <si>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</si>
  <si>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</si>
  <si>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</si>
  <si>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</si>
  <si>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</si>
  <si>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</si>
  <si>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</si>
  <si>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</si>
  <si>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</si>
  <si>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</si>
  <si>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</si>
  <si>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</si>
  <si>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</si>
  <si>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</si>
  <si>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</si>
  <si>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</si>
  <si>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</si>
  <si>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</si>
  <si>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</si>
  <si>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</si>
  <si>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</si>
  <si>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</si>
  <si>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</si>
  <si>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</si>
  <si>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</si>
  <si>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</si>
  <si>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</si>
  <si>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</si>
  <si>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</si>
  <si>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</si>
  <si>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</si>
  <si>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</si>
  <si>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</si>
  <si>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</si>
  <si>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</si>
  <si>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</si>
  <si>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</si>
  <si>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</si>
  <si>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</si>
  <si>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</si>
  <si>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</si>
  <si>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</si>
  <si>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</si>
  <si>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</si>
  <si>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</si>
  <si>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</si>
  <si>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</si>
  <si>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</si>
  <si>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</si>
  <si>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</si>
  <si>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</si>
  <si>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</si>
  <si>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</si>
  <si>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</si>
  <si>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</si>
  <si>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</si>
  <si>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</si>
  <si>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</si>
  <si>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</si>
  <si>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</si>
  <si>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</si>
  <si>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</si>
  <si>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</si>
  <si>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</si>
  <si>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</si>
  <si>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</si>
  <si>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</si>
  <si>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</si>
  <si>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</si>
  <si>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</si>
  <si>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</si>
  <si>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</si>
  <si>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</si>
  <si>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</si>
  <si>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</si>
  <si>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</si>
  <si>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</si>
  <si>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</si>
  <si>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</si>
  <si>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</si>
  <si>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</si>
  <si>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</si>
  <si>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</si>
  <si>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</si>
  <si>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</si>
  <si>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</si>
  <si>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</si>
  <si>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</si>
  <si>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</si>
  <si>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</si>
  <si>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</si>
  <si>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</si>
  <si>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</si>
  <si>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</si>
  <si>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</si>
  <si>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</si>
  <si>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</si>
  <si>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</si>
  <si>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</si>
  <si>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</si>
  <si>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</si>
  <si>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</si>
  <si>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</si>
  <si>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</si>
  <si>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</si>
  <si>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</si>
  <si>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</si>
  <si>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</si>
  <si>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</si>
  <si>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</si>
  <si>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</si>
  <si>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</si>
  <si>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</si>
  <si>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</si>
  <si>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</si>
  <si>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</si>
  <si>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</si>
  <si>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</si>
  <si>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</si>
  <si>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</si>
  <si>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</si>
  <si>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</si>
  <si>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</si>
  <si>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</si>
  <si>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</si>
  <si>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</si>
  <si>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</si>
  <si>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</si>
  <si>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</si>
  <si>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</si>
  <si>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</si>
  <si>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</si>
  <si>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</si>
  <si>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</si>
  <si>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</si>
  <si>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</si>
  <si>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</si>
  <si>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</si>
  <si>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</si>
  <si>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</si>
  <si>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</si>
  <si>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</si>
  <si>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</si>
  <si>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</si>
  <si>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</si>
  <si>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</si>
  <si>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</si>
  <si>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</si>
  <si>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</si>
  <si>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</si>
  <si>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</si>
  <si>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</si>
  <si>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</si>
  <si>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</si>
  <si>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</si>
  <si>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</si>
  <si>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</si>
  <si>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</si>
  <si>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</si>
  <si>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</si>
  <si>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</si>
  <si>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</si>
  <si>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</si>
  <si>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</si>
  <si>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</si>
  <si>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</si>
  <si>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</si>
  <si>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</si>
  <si>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</si>
  <si>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</si>
  <si>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</si>
  <si>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</si>
  <si>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</si>
  <si>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</si>
  <si>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</si>
  <si>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</si>
  <si>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</si>
  <si>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</si>
  <si>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</si>
  <si>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</si>
  <si>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</si>
  <si>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</si>
  <si>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</si>
  <si>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</si>
  <si>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</si>
  <si>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</si>
  <si>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</si>
  <si>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</si>
  <si>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</si>
  <si>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</si>
  <si>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</si>
  <si>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</si>
  <si>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</si>
  <si>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</si>
  <si>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</si>
  <si>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</si>
  <si>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</si>
  <si>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</si>
  <si>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</si>
  <si>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</si>
  <si>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</si>
  <si>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</si>
  <si>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</si>
  <si>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</si>
  <si>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</si>
  <si>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</si>
  <si>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</si>
  <si>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</si>
  <si>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</si>
  <si>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</si>
  <si>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</si>
  <si>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</si>
  <si>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</si>
  <si>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</si>
  <si>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</si>
  <si>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</si>
  <si>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</si>
  <si>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</si>
  <si>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</si>
  <si>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</si>
  <si>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</si>
  <si>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</si>
  <si>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</si>
  <si>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</si>
  <si>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</si>
  <si>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</si>
  <si>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</si>
  <si>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</si>
  <si>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</si>
  <si>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</si>
  <si>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</si>
  <si>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</si>
  <si>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</si>
  <si>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</si>
  <si>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</si>
  <si>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</si>
  <si>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</si>
  <si>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</si>
  <si>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</si>
  <si>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</si>
  <si>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</si>
  <si>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</si>
  <si>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</si>
  <si>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</si>
  <si>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</si>
  <si>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</si>
  <si>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</si>
  <si>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</si>
  <si>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</si>
  <si>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</si>
  <si>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</si>
  <si>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</si>
  <si>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</si>
  <si>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</si>
  <si>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</si>
  <si>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</si>
  <si>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</si>
  <si>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</si>
  <si>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</si>
  <si>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</si>
  <si>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</si>
  <si>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</si>
  <si>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</si>
  <si>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</si>
  <si>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</si>
  <si>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</si>
  <si>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</si>
  <si>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</si>
  <si>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</si>
  <si>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</si>
  <si>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</si>
  <si>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</si>
  <si>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</si>
  <si>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</si>
  <si>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</si>
  <si>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</si>
  <si>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</si>
  <si>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</si>
  <si>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</si>
  <si>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</si>
  <si>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</si>
  <si>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</si>
  <si>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</si>
  <si>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</si>
  <si>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</si>
  <si>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</si>
  <si>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</si>
  <si>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</si>
  <si>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</si>
  <si>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</si>
  <si>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</si>
  <si>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</si>
  <si>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</si>
  <si>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</si>
  <si>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</si>
  <si>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</si>
  <si>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</si>
  <si>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</si>
  <si>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</si>
  <si>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</si>
  <si>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</si>
  <si>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</si>
  <si>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</si>
  <si>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</si>
  <si>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</si>
  <si>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</si>
  <si>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</si>
  <si>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</si>
  <si>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</si>
  <si>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</si>
  <si>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</si>
  <si>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</si>
  <si>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</si>
  <si>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</si>
  <si>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</si>
  <si>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</si>
  <si>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</si>
  <si>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</si>
  <si>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</si>
  <si>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</si>
  <si>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</si>
  <si>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</si>
  <si>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</si>
  <si>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</si>
  <si>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</si>
  <si>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</si>
  <si>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</si>
  <si>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</si>
  <si>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</si>
  <si>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</si>
  <si>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</si>
  <si>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</si>
  <si>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</si>
  <si>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</si>
  <si>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</si>
  <si>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</si>
  <si>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</si>
  <si>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</si>
  <si>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</si>
  <si>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</si>
  <si>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</si>
  <si>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</si>
  <si>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</si>
  <si>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</si>
  <si>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</si>
  <si>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</si>
  <si>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</si>
  <si>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</si>
  <si>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</si>
  <si>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</si>
  <si>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</si>
  <si>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</si>
  <si>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</si>
  <si>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</si>
  <si>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</si>
  <si>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</si>
  <si>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</si>
  <si>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</si>
  <si>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</si>
  <si>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</si>
  <si>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</si>
  <si>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</si>
  <si>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</si>
  <si>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</si>
  <si>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</si>
  <si>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</si>
  <si>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</si>
  <si>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</si>
  <si>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</si>
  <si>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</si>
  <si>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</si>
  <si>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</si>
  <si>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</si>
  <si>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</si>
  <si>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</si>
  <si>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</si>
  <si>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</si>
  <si>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</si>
  <si>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</si>
  <si>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</si>
  <si>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</si>
  <si>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</si>
  <si>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</si>
  <si>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</si>
  <si>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</si>
  <si>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</si>
  <si>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</si>
  <si>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</si>
  <si>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</si>
  <si>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</si>
  <si>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</si>
  <si>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</si>
  <si>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</si>
  <si>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</si>
  <si>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</si>
  <si>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</si>
  <si>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</si>
  <si>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</si>
  <si>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</si>
  <si>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</si>
  <si>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</si>
  <si>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</si>
  <si>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</si>
  <si>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</si>
  <si>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</si>
  <si>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</si>
  <si>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</si>
  <si>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</si>
  <si>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</si>
  <si>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</si>
  <si>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</si>
  <si>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</si>
  <si>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</si>
  <si>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</si>
  <si>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</si>
  <si>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</si>
  <si>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</si>
  <si>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</si>
  <si>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</si>
  <si>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</si>
  <si>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</si>
  <si>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</si>
  <si>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</si>
  <si>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</si>
  <si>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</si>
  <si>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</si>
  <si>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</si>
  <si>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</si>
  <si>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</si>
  <si>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</si>
  <si>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</si>
  <si>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</si>
  <si>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</si>
  <si>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</si>
  <si>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</si>
  <si>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</si>
  <si>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</si>
  <si>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</si>
  <si>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</si>
  <si>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</si>
  <si>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</si>
  <si>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</si>
  <si>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</si>
  <si>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</si>
  <si>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</si>
  <si>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</si>
  <si>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</si>
  <si>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</si>
  <si>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</si>
  <si>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</si>
  <si>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</si>
  <si>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</si>
  <si>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</si>
  <si>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</si>
  <si>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</si>
  <si>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</si>
  <si>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</si>
  <si>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</si>
  <si>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</si>
  <si>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</si>
  <si>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</si>
  <si>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</si>
  <si>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</si>
  <si>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</si>
  <si>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</si>
  <si>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</si>
  <si>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</si>
  <si>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</si>
  <si>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</si>
  <si>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</si>
  <si>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</si>
  <si>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</si>
  <si>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</si>
  <si>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</si>
  <si>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</si>
  <si>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</si>
  <si>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</si>
  <si>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</si>
  <si>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</si>
  <si>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</si>
  <si>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</si>
  <si>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</si>
  <si>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</si>
  <si>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</si>
  <si>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</si>
  <si>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</si>
  <si>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</si>
  <si>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</si>
  <si>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</si>
  <si>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</si>
  <si>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</si>
  <si>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</si>
  <si>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</si>
  <si>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</si>
  <si>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</si>
  <si>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</si>
  <si>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</si>
  <si>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</si>
  <si>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</si>
  <si>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</si>
  <si>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</si>
  <si>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</si>
  <si>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</si>
  <si>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</si>
  <si>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</si>
  <si>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</si>
  <si>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</si>
  <si>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</si>
  <si>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</si>
  <si>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</si>
  <si>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</si>
  <si>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</si>
  <si>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</si>
  <si>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</si>
  <si>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</si>
  <si>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</si>
  <si>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</si>
  <si>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</si>
  <si>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</si>
  <si>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</si>
  <si>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</si>
  <si>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</si>
  <si>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</si>
  <si>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</si>
  <si>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</si>
  <si>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</si>
  <si>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</si>
  <si>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</si>
  <si>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</si>
  <si>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</si>
  <si>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</si>
  <si>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</si>
  <si>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</si>
  <si>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</si>
  <si>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</si>
  <si>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</si>
  <si>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</si>
  <si>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</si>
  <si>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</si>
  <si>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</si>
  <si>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</si>
  <si>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</si>
  <si>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</si>
  <si>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</si>
  <si>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</si>
  <si>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</si>
  <si>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</si>
  <si>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</si>
  <si>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</si>
  <si>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</si>
  <si>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</si>
  <si>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</si>
  <si>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</si>
  <si>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</si>
  <si>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</si>
  <si>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</si>
  <si>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</si>
  <si>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</si>
  <si>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</si>
  <si>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</si>
  <si>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</si>
  <si>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</si>
  <si>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</si>
  <si>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</si>
  <si>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</si>
  <si>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</si>
  <si>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</si>
  <si>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</si>
  <si>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</si>
  <si>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</si>
  <si>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</si>
  <si>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</si>
  <si>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</si>
  <si>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</si>
  <si>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</si>
  <si>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</si>
  <si>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</si>
  <si>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</si>
  <si>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</si>
  <si>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</si>
  <si>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</si>
  <si>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</si>
  <si>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</si>
  <si>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</si>
  <si>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</si>
  <si>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</si>
  <si>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</si>
  <si>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</si>
  <si>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</si>
  <si>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</si>
  <si>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</si>
  <si>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</si>
  <si>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</si>
  <si>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</si>
  <si>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</si>
  <si>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</si>
  <si>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</si>
  <si>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</si>
  <si>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</si>
  <si>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</si>
  <si>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</si>
  <si>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</si>
  <si>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</si>
  <si>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</si>
  <si>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</si>
  <si>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</si>
  <si>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</si>
  <si>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</si>
  <si>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</si>
  <si>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</si>
  <si>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</si>
  <si>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</si>
  <si>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</si>
  <si>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</si>
  <si>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</si>
  <si>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</si>
  <si>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</si>
  <si>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</si>
  <si>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</si>
  <si>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</si>
  <si>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</si>
  <si>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</si>
  <si>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</si>
  <si>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</si>
  <si>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</si>
  <si>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</si>
  <si>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</si>
  <si>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</si>
  <si>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</si>
  <si>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</si>
  <si>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</si>
  <si>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</si>
  <si>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</si>
  <si>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</si>
  <si>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</si>
  <si>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</si>
  <si>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</si>
  <si>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</si>
  <si>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</si>
  <si>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</si>
  <si>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</si>
  <si>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</si>
  <si>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</si>
  <si>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</si>
  <si>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</si>
  <si>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</si>
  <si>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</si>
  <si>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</si>
  <si>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</si>
  <si>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</si>
  <si>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</si>
  <si>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</si>
  <si>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</si>
  <si>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</si>
  <si>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</si>
  <si>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</si>
  <si>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</si>
  <si>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</si>
  <si>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</si>
  <si>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</si>
  <si>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</si>
  <si>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</si>
  <si>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</si>
  <si>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</si>
  <si>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</si>
  <si>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</si>
  <si>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</si>
  <si>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</si>
  <si>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</si>
  <si>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</si>
  <si>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</si>
  <si>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</si>
  <si>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</si>
  <si>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</si>
  <si>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</si>
  <si>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</si>
  <si>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</si>
  <si>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</si>
  <si>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</si>
  <si>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</si>
  <si>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</si>
  <si>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</si>
  <si>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</si>
  <si>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</si>
  <si>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</si>
  <si>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</si>
  <si>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</si>
  <si>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</si>
  <si>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</si>
  <si>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</si>
  <si>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</si>
  <si>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</si>
  <si>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</si>
  <si>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</si>
  <si>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</si>
  <si>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</si>
  <si>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</si>
  <si>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</si>
  <si>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</si>
  <si>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</si>
  <si>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</si>
  <si>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</si>
  <si>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</si>
  <si>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</si>
  <si>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</si>
  <si>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</si>
  <si>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</si>
  <si>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</si>
  <si>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</si>
  <si>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</si>
  <si>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</si>
  <si>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</si>
  <si>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</si>
  <si>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</si>
  <si>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</si>
  <si>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</si>
  <si>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</si>
  <si>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</si>
  <si>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</si>
  <si>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</si>
  <si>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</si>
  <si>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</si>
  <si>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</si>
  <si>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</si>
  <si>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</si>
  <si>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</si>
  <si>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</si>
  <si>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</si>
  <si>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</si>
  <si>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</si>
  <si>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</si>
  <si>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</si>
  <si>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</si>
  <si>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</si>
  <si>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</si>
  <si>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</si>
  <si>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</si>
  <si>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</si>
  <si>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</si>
  <si>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</si>
  <si>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</si>
  <si>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</si>
  <si>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</si>
  <si>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</si>
  <si>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</si>
  <si>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</si>
  <si>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</si>
  <si>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</si>
  <si>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</si>
  <si>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</si>
  <si>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</si>
  <si>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</si>
  <si>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</si>
  <si>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</si>
  <si>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</si>
  <si>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</si>
  <si>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</si>
  <si>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</si>
  <si>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</si>
  <si>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</si>
  <si>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</si>
  <si>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</si>
  <si>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</si>
  <si>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</si>
  <si>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</si>
  <si>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</si>
  <si>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</si>
  <si>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</si>
  <si>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</si>
  <si>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</si>
  <si>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</si>
  <si>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</si>
  <si>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</si>
  <si>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</si>
  <si>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</si>
  <si>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</si>
  <si>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</si>
  <si>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</si>
  <si>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</si>
  <si>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</si>
  <si>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</si>
  <si>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</si>
  <si>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</si>
  <si>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</si>
  <si>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</si>
  <si>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</si>
  <si>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</si>
  <si>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</si>
  <si>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</si>
  <si>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</si>
  <si>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</si>
  <si>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</si>
  <si>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</si>
  <si>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</si>
  <si>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</si>
  <si>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</si>
  <si>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</si>
  <si>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</si>
  <si>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</si>
  <si>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</si>
  <si>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</si>
  <si>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</si>
  <si>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</si>
  <si>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</si>
  <si>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</si>
  <si>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</si>
  <si>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</si>
  <si>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</si>
  <si>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</si>
  <si>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</si>
  <si>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</si>
  <si>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</si>
  <si>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</si>
  <si>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</si>
  <si>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</si>
  <si>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</si>
  <si>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</si>
  <si>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</si>
  <si>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</si>
  <si>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</si>
  <si>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</si>
  <si>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</si>
  <si>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</si>
  <si>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</si>
  <si>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</si>
  <si>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</si>
  <si>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</si>
  <si>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</si>
  <si>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</si>
  <si>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</si>
  <si>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</si>
  <si>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</si>
  <si>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</si>
  <si>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</si>
  <si>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</si>
  <si>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</si>
  <si>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</si>
  <si>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</si>
  <si>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</si>
  <si>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</si>
  <si>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</si>
  <si>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</si>
  <si>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</si>
  <si>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</si>
  <si>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</si>
  <si>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</si>
  <si>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</si>
  <si>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</si>
  <si>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</si>
  <si>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</si>
  <si>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</si>
  <si>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</si>
  <si>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</si>
  <si>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</si>
  <si>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</si>
  <si>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</si>
  <si>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</si>
  <si>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</si>
  <si>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</si>
  <si>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</si>
  <si>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</si>
  <si>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</si>
  <si>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</si>
  <si>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</si>
  <si>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</si>
  <si>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</si>
  <si>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</si>
  <si>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</si>
  <si>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</si>
  <si>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</si>
  <si>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</si>
  <si>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</si>
  <si>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</si>
  <si>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</si>
  <si>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</si>
  <si>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</si>
  <si>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</si>
  <si>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</si>
  <si>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</si>
  <si>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</si>
  <si>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</si>
  <si>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</si>
  <si>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</si>
  <si>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</si>
  <si>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</si>
  <si>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</si>
  <si>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</si>
  <si>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</si>
  <si>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</si>
  <si>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</si>
  <si>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</si>
  <si>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</si>
  <si>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</si>
  <si>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</si>
  <si>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</si>
  <si>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</si>
  <si>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</si>
  <si>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</si>
  <si>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</si>
  <si>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</si>
  <si>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</si>
  <si>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</si>
  <si>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</si>
  <si>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</si>
  <si>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</si>
  <si>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</si>
  <si>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</si>
  <si>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</si>
  <si>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</si>
  <si>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</si>
  <si>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</si>
  <si>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</si>
  <si>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</si>
  <si>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</si>
  <si>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</si>
  <si>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</si>
  <si>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</si>
  <si>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</si>
  <si>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</si>
  <si>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</si>
  <si>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</si>
  <si>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</si>
  <si>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</si>
  <si>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</si>
  <si>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</si>
  <si>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</si>
  <si>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</si>
  <si>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</si>
  <si>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</si>
  <si>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</si>
  <si>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</si>
  <si>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</si>
  <si>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</si>
  <si>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</si>
  <si>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</si>
  <si>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</si>
  <si>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</si>
  <si>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</si>
  <si>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</si>
  <si>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</si>
  <si>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</si>
  <si>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</si>
  <si>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</si>
  <si>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</si>
  <si>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</si>
  <si>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</si>
  <si>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</si>
  <si>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</si>
  <si>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</si>
  <si>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</si>
  <si>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</si>
  <si>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</si>
  <si>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</si>
  <si>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</si>
  <si>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</si>
  <si>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</si>
  <si>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</si>
  <si>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</si>
  <si>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</si>
  <si>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</si>
  <si>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</si>
  <si>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</si>
  <si>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</si>
  <si>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</si>
  <si>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</si>
  <si>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</si>
  <si>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</si>
  <si>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</si>
  <si>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</si>
  <si>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</si>
  <si>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</si>
  <si>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</si>
  <si>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</si>
  <si>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</si>
  <si>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</si>
  <si>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</si>
  <si>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</si>
  <si>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</si>
  <si>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</si>
  <si>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</si>
  <si>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</si>
  <si>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</si>
  <si>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</si>
  <si>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</si>
  <si>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</si>
  <si>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</si>
  <si>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</si>
  <si>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</si>
  <si>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</si>
  <si>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</si>
  <si>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</si>
  <si>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</si>
  <si>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</si>
  <si>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</si>
  <si>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</si>
  <si>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</si>
  <si>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</si>
  <si>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</si>
  <si>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</si>
  <si>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</si>
  <si>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</si>
  <si>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</si>
  <si>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</si>
  <si>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</si>
  <si>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</si>
  <si>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</si>
  <si>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</si>
  <si>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</si>
  <si>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</si>
  <si>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</si>
  <si>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</si>
  <si>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</si>
  <si>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</si>
  <si>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</si>
  <si>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</si>
  <si>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</si>
  <si>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</si>
  <si>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</si>
  <si>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</si>
  <si>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</si>
  <si>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</si>
  <si>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</si>
  <si>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</si>
  <si>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</si>
  <si>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</si>
  <si>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</si>
  <si>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</si>
  <si>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</si>
  <si>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</si>
  <si>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</si>
  <si>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</si>
  <si>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</si>
  <si>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</si>
  <si>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</si>
  <si>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</si>
  <si>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</si>
  <si>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</si>
  <si>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</si>
  <si>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</si>
  <si>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</si>
  <si>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</si>
  <si>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</si>
  <si>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</si>
  <si>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</si>
  <si>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</si>
  <si>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</si>
  <si>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</si>
  <si>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</si>
  <si>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</si>
  <si>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</si>
  <si>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</si>
  <si>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</si>
  <si>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</si>
  <si>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</si>
  <si>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</si>
  <si>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</si>
  <si>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</si>
  <si>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</si>
  <si>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</si>
  <si>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</si>
  <si>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</si>
  <si>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</si>
  <si>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</si>
  <si>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</si>
  <si>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</si>
  <si>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</si>
  <si>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</si>
  <si>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</si>
  <si>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</si>
  <si>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</si>
  <si>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</si>
  <si>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</si>
  <si>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</si>
  <si>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</si>
  <si>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</si>
  <si>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</si>
  <si>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</si>
  <si>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</si>
  <si>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</si>
  <si>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</si>
  <si>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</si>
  <si>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</si>
  <si>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</si>
  <si>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</si>
  <si>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</si>
  <si>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</si>
  <si>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</si>
  <si>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</si>
  <si>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</si>
  <si>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</si>
  <si>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</si>
  <si>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</si>
  <si>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</si>
  <si>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</si>
  <si>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</si>
  <si>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</si>
  <si>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</si>
  <si>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</si>
  <si>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</si>
  <si>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</si>
  <si>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</si>
  <si>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</si>
  <si>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</si>
  <si>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</si>
  <si>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</si>
  <si>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</si>
  <si>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</si>
  <si>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</si>
  <si>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</si>
  <si>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</si>
  <si>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</si>
  <si>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</si>
  <si>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</si>
  <si>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</si>
  <si>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</si>
  <si>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</si>
  <si>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</si>
  <si>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</si>
  <si>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</si>
  <si>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</si>
  <si>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</si>
  <si>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</si>
  <si>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</si>
  <si>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</si>
  <si>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</si>
  <si>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</si>
  <si>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</si>
  <si>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</si>
  <si>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</si>
  <si>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</si>
  <si>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</si>
  <si>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</si>
  <si>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</si>
  <si>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</si>
  <si>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</si>
  <si>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</si>
  <si>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</si>
  <si>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</si>
  <si>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</si>
  <si>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</si>
  <si>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</si>
  <si>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</si>
  <si>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</si>
  <si>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</si>
  <si>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</si>
  <si>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</si>
  <si>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</si>
  <si>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</si>
  <si>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</si>
  <si>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</si>
  <si>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</si>
  <si>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</si>
  <si>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</si>
  <si>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</si>
  <si>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</si>
  <si>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</si>
  <si>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</si>
  <si>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</si>
  <si>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</si>
  <si>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</si>
  <si>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</si>
  <si>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</si>
  <si>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</si>
  <si>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</si>
  <si>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</si>
  <si>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</si>
  <si>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</si>
  <si>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</si>
  <si>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</si>
  <si>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</si>
  <si>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</si>
  <si>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</si>
  <si>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</si>
  <si>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</si>
  <si>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</si>
  <si>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</si>
  <si>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</si>
  <si>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</si>
  <si>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</si>
  <si>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</si>
  <si>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</si>
  <si>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</si>
  <si>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</si>
  <si>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</si>
  <si>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</si>
  <si>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</si>
  <si>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</si>
  <si>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</si>
  <si>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</si>
  <si>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</si>
  <si>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</si>
  <si>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</si>
  <si>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</si>
  <si>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</si>
  <si>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</si>
  <si>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</si>
  <si>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</si>
  <si>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</si>
  <si>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</si>
  <si>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</si>
  <si>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</si>
  <si>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</si>
  <si>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</si>
  <si>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</si>
  <si>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</si>
  <si>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</si>
  <si>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</si>
  <si>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</si>
  <si>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</si>
  <si>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</si>
  <si>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</si>
  <si>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</si>
  <si>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</si>
  <si>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</si>
  <si>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</si>
  <si>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</si>
  <si>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</si>
  <si>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</si>
  <si>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</si>
  <si>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</si>
  <si>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</si>
  <si>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</si>
  <si>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</si>
  <si>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</si>
  <si>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</si>
  <si>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</si>
  <si>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</si>
  <si>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</si>
  <si>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</si>
  <si>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</si>
  <si>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</si>
  <si>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</si>
  <si>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</si>
  <si>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</si>
  <si>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</si>
  <si>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</si>
  <si>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</si>
  <si>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</si>
  <si>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</si>
  <si>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</si>
  <si>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</si>
  <si>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</si>
  <si>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</si>
  <si>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</si>
  <si>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</si>
  <si>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</si>
  <si>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</si>
  <si>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</si>
  <si>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</si>
  <si>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</si>
  <si>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</si>
  <si>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</si>
  <si>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</si>
  <si>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</si>
  <si>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</si>
  <si>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</si>
  <si>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</si>
  <si>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</si>
  <si>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</si>
  <si>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</si>
  <si>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</si>
  <si>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</si>
  <si>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</si>
  <si>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</si>
  <si>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</si>
  <si>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</si>
  <si>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</si>
  <si>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</si>
  <si>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</si>
  <si>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</si>
  <si>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</si>
  <si>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</si>
  <si>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</si>
  <si>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</si>
  <si>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</si>
  <si>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</si>
  <si>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</si>
  <si>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</si>
  <si>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</si>
  <si>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</si>
  <si>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</si>
  <si>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</si>
  <si>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</si>
  <si>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</si>
  <si>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</si>
  <si>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</si>
  <si>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</si>
  <si>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</si>
  <si>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</si>
  <si>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</si>
  <si>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</si>
  <si>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</si>
  <si>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</si>
  <si>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</si>
  <si>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</si>
  <si>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</si>
  <si>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</si>
  <si>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</si>
  <si>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</si>
  <si>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</si>
  <si>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</si>
  <si>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</si>
  <si>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</si>
  <si>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</si>
  <si>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</si>
  <si>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</si>
  <si>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</si>
  <si>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</si>
  <si>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</si>
  <si>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</si>
  <si>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</si>
  <si>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</si>
  <si>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</si>
  <si>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</si>
  <si>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</si>
  <si>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</si>
  <si>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</si>
  <si>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</si>
  <si>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</si>
  <si>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</si>
  <si>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</si>
  <si>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</si>
  <si>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</si>
  <si>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</si>
  <si>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</si>
  <si>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</si>
  <si>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</si>
  <si>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</si>
  <si>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</si>
  <si>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</si>
  <si>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</si>
  <si>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</si>
  <si>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</si>
  <si>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</si>
  <si>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</si>
  <si>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</si>
  <si>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</si>
  <si>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</si>
  <si>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</si>
  <si>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</si>
  <si>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</si>
  <si>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</si>
  <si>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</si>
  <si>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</si>
  <si>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</si>
  <si>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</si>
  <si>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</si>
  <si>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</si>
  <si>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</si>
  <si>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</si>
  <si>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</si>
  <si>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</si>
  <si>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</si>
  <si>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</si>
  <si>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</si>
  <si>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</si>
  <si>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</si>
  <si>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</si>
  <si>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</si>
  <si>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</si>
  <si>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</si>
  <si>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</si>
  <si>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</si>
  <si>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</si>
  <si>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</si>
  <si>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</si>
  <si>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</si>
  <si>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</si>
  <si>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</si>
  <si>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</si>
  <si>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</si>
  <si>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</si>
  <si>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</si>
  <si>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</si>
  <si>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</si>
  <si>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</si>
  <si>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</si>
  <si>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</si>
  <si>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</si>
  <si>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</si>
  <si>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</si>
  <si>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</si>
  <si>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</si>
  <si>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</si>
  <si>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</si>
  <si>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</si>
  <si>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</si>
  <si>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</si>
  <si>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</si>
  <si>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</si>
  <si>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</si>
  <si>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</si>
  <si>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</si>
  <si>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</si>
  <si>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</si>
  <si>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</si>
  <si>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</si>
  <si>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</si>
  <si>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</si>
  <si>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</si>
  <si>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</si>
  <si>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</si>
  <si>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</si>
  <si>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</si>
  <si>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</si>
  <si>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</si>
  <si>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</si>
  <si>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</si>
  <si>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</si>
  <si>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</si>
  <si>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</si>
  <si>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</si>
  <si>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</si>
  <si>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</si>
  <si>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</si>
  <si>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</si>
  <si>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</si>
  <si>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</si>
  <si>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</si>
  <si>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</si>
  <si>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</si>
  <si>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</si>
  <si>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</si>
  <si>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</si>
  <si>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</si>
  <si>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</si>
  <si>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</si>
  <si>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</si>
  <si>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</si>
  <si>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</si>
  <si>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</si>
  <si>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</si>
  <si>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</si>
  <si>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</si>
  <si>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</si>
  <si>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</si>
  <si>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</si>
  <si>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</si>
  <si>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</si>
  <si>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</si>
  <si>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</si>
  <si>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</si>
  <si>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</si>
  <si>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</si>
  <si>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</si>
  <si>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</si>
  <si>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</si>
  <si>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</si>
  <si>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</si>
  <si>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</si>
  <si>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</si>
  <si>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</si>
  <si>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</si>
  <si>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</si>
  <si>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</si>
  <si>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</si>
  <si>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</si>
  <si>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</si>
  <si>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</si>
  <si>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</si>
  <si>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</si>
  <si>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</si>
  <si>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</si>
  <si>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</si>
  <si>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</si>
  <si>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</si>
  <si>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</si>
  <si>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</si>
  <si>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</si>
  <si>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</si>
  <si>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</si>
  <si>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</si>
  <si>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</si>
  <si>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</si>
  <si>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</si>
  <si>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</si>
  <si>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</si>
  <si>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</si>
  <si>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</si>
  <si>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</si>
  <si>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</si>
  <si>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</si>
  <si>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</si>
  <si>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</si>
  <si>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</si>
  <si>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</si>
  <si>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</si>
  <si>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</si>
  <si>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</si>
  <si>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</si>
  <si>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</si>
  <si>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</si>
  <si>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</si>
  <si>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</si>
  <si>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</si>
  <si>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</si>
  <si>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</si>
  <si>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</si>
  <si>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</si>
  <si>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</si>
  <si>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</si>
  <si>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</si>
  <si>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</si>
  <si>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</si>
  <si>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</si>
  <si>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</si>
  <si>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</si>
  <si>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</si>
  <si>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</si>
  <si>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</si>
  <si>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</si>
  <si>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</si>
  <si>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</si>
  <si>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</si>
  <si>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</si>
  <si>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</si>
  <si>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</si>
  <si>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</si>
  <si>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</si>
  <si>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</si>
  <si>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</si>
  <si>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</si>
  <si>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</si>
  <si>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</si>
  <si>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</si>
  <si>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</si>
  <si>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</si>
  <si>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</si>
  <si>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</si>
  <si>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</si>
  <si>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</si>
  <si>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</si>
  <si>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</si>
  <si>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</si>
  <si>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</si>
  <si>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</si>
  <si>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</si>
  <si>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</si>
  <si>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</si>
  <si>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</si>
  <si>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</si>
  <si>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</si>
  <si>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</si>
  <si>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</si>
  <si>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</si>
  <si>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</si>
  <si>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</si>
  <si>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</si>
  <si>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</si>
  <si>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</si>
  <si>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</si>
  <si>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</si>
  <si>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</si>
  <si>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</si>
  <si>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</si>
  <si>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</si>
  <si>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</si>
  <si>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</si>
  <si>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</si>
  <si>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</si>
  <si>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</si>
  <si>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</si>
  <si>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</si>
  <si>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</si>
  <si>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</si>
  <si>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</si>
  <si>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</si>
  <si>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</si>
  <si>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</si>
  <si>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</si>
  <si>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</si>
  <si>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</si>
  <si>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</si>
  <si>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</si>
  <si>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</si>
  <si>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</si>
  <si>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</si>
  <si>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</si>
  <si>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</si>
  <si>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</si>
  <si>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</si>
  <si>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</si>
  <si>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</si>
  <si>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</si>
  <si>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</si>
  <si>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</si>
  <si>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</si>
  <si>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</si>
  <si>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</si>
  <si>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</si>
  <si>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</si>
  <si>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</si>
  <si>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</si>
  <si>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</si>
  <si>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</si>
  <si>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</si>
  <si>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</si>
  <si>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</si>
  <si>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</si>
  <si>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</si>
  <si>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</si>
  <si>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</si>
  <si>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</si>
  <si>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</si>
  <si>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</si>
  <si>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</si>
  <si>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</si>
  <si>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</si>
  <si>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</si>
  <si>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</si>
  <si>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</si>
  <si>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</si>
  <si>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</si>
  <si>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</si>
  <si>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</si>
  <si>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</si>
  <si>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</si>
  <si>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</si>
  <si>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</si>
  <si>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</si>
  <si>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</si>
  <si>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</si>
  <si>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</si>
  <si>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</si>
  <si>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</si>
  <si>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</si>
  <si>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</si>
  <si>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</si>
  <si>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</si>
  <si>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</si>
  <si>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</si>
  <si>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</si>
  <si>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</si>
  <si>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</si>
  <si>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</si>
  <si>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</si>
  <si>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</si>
  <si>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</si>
  <si>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</si>
  <si>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</si>
  <si>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</si>
  <si>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</si>
  <si>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</si>
  <si>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</si>
  <si>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</si>
  <si>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</si>
  <si>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</si>
  <si>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</si>
  <si>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</si>
  <si>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</si>
  <si>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</si>
  <si>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</si>
  <si>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</si>
  <si>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</si>
  <si>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</si>
  <si>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</si>
  <si>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</si>
  <si>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</si>
  <si>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</si>
  <si>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</si>
  <si>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</si>
  <si>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</si>
  <si>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</si>
  <si>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</si>
  <si>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</si>
  <si>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</si>
  <si>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</si>
  <si>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</si>
  <si>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</si>
  <si>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</si>
  <si>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</si>
  <si>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</si>
  <si>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</si>
  <si>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</si>
  <si>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</si>
  <si>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</si>
  <si>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</si>
  <si>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</si>
  <si>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</si>
  <si>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</si>
  <si>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</si>
  <si>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</si>
  <si>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</si>
  <si>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</si>
  <si>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</si>
  <si>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</si>
  <si>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</si>
  <si>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</si>
  <si>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</si>
  <si>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</si>
  <si>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</si>
  <si>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</si>
  <si>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</si>
  <si>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</si>
  <si>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</si>
  <si>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</si>
  <si>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</si>
  <si>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</si>
  <si>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</si>
  <si>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</si>
  <si>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</si>
  <si>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</si>
  <si>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</si>
  <si>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</si>
  <si>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</si>
  <si>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</si>
  <si>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</si>
  <si>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</si>
  <si>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</si>
  <si>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</si>
  <si>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</si>
  <si>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</si>
  <si>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</si>
  <si>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</si>
  <si>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</si>
  <si>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</si>
  <si>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</si>
  <si>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</si>
  <si>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</si>
  <si>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</si>
  <si>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</si>
  <si>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</si>
  <si>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</si>
  <si>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</si>
  <si>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</si>
  <si>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</si>
  <si>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</si>
  <si>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</si>
  <si>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</si>
  <si>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</si>
  <si>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</si>
  <si>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</si>
  <si>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</si>
  <si>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</si>
  <si>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</si>
  <si>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</si>
  <si>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</si>
  <si>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</si>
  <si>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</si>
  <si>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</si>
  <si>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</si>
  <si>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</si>
  <si>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</si>
  <si>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</si>
  <si>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</si>
  <si>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</si>
  <si>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</si>
  <si>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</si>
  <si>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</si>
  <si>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</si>
  <si>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</si>
  <si>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</si>
  <si>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</si>
  <si>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</si>
  <si>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</si>
  <si>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</si>
  <si>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</si>
  <si>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</si>
  <si>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</si>
  <si>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</si>
  <si>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</si>
  <si>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</si>
  <si>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</si>
  <si>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</si>
  <si>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</si>
  <si>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</si>
  <si>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</si>
  <si>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</si>
  <si>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</si>
  <si>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</si>
  <si>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</si>
  <si>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</si>
  <si>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</si>
  <si>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</si>
  <si>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</si>
  <si>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</si>
  <si>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</si>
  <si>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</si>
  <si>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</si>
  <si>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</si>
  <si>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</si>
  <si>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</si>
  <si>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</si>
  <si>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</si>
  <si>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</si>
  <si>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</si>
  <si>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</si>
  <si>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</si>
  <si>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</si>
  <si>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</si>
  <si>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</si>
  <si>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</si>
  <si>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</si>
  <si>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</si>
  <si>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</si>
  <si>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</si>
  <si>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</si>
  <si>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</si>
  <si>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</si>
  <si>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</si>
  <si>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</si>
  <si>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</si>
  <si>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</si>
  <si>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</si>
  <si>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</si>
  <si>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</si>
  <si>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</si>
  <si>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</si>
  <si>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</si>
  <si>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</si>
  <si>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</si>
  <si>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</si>
  <si>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</si>
  <si>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</si>
  <si>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</si>
  <si>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</si>
  <si>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</si>
  <si>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</si>
  <si>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</si>
  <si>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</si>
  <si>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</si>
  <si>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</si>
  <si>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</si>
  <si>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</si>
  <si>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</si>
  <si>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</si>
  <si>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</si>
  <si>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</si>
  <si>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</si>
  <si>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</si>
  <si>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</si>
  <si>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</si>
  <si>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</si>
  <si>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</si>
  <si>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</si>
  <si>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</si>
  <si>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</si>
  <si>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</si>
  <si>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</si>
  <si>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</si>
  <si>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</si>
  <si>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</si>
  <si>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</si>
  <si>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</si>
  <si>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</si>
  <si>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</si>
  <si>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</si>
  <si>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</si>
  <si>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</si>
  <si>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</si>
  <si>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</si>
  <si>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</si>
  <si>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</si>
  <si>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</si>
  <si>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</si>
  <si>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</si>
  <si>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</si>
  <si>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</si>
  <si>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</si>
  <si>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</si>
  <si>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</si>
  <si>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</si>
  <si>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</si>
  <si>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</si>
  <si>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</si>
  <si>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</si>
  <si>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</si>
  <si>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</si>
  <si>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</si>
  <si>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</si>
  <si>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</si>
  <si>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</si>
  <si>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</si>
  <si>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</si>
  <si>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</si>
  <si>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</si>
  <si>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</si>
  <si>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</si>
  <si>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</si>
  <si>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</si>
  <si>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</si>
  <si>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</si>
  <si>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</si>
  <si>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</si>
  <si>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</si>
  <si>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</si>
  <si>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</si>
  <si>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</si>
  <si>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</si>
  <si>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</si>
  <si>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</si>
  <si>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</si>
  <si>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</si>
  <si>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</si>
  <si>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</si>
  <si>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</si>
  <si>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</si>
  <si>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</si>
  <si>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</si>
  <si>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</si>
  <si>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</si>
  <si>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</si>
  <si>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</si>
  <si>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</si>
  <si>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</si>
  <si>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</si>
  <si>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</si>
  <si>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</si>
  <si>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</si>
  <si>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</si>
  <si>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</si>
  <si>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</si>
  <si>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</si>
  <si>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</si>
  <si>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</si>
  <si>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</si>
  <si>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</si>
  <si>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</si>
  <si>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</si>
  <si>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</si>
  <si>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</si>
  <si>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</si>
  <si>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</si>
  <si>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</si>
  <si>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</si>
  <si>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</si>
  <si>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</si>
  <si>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</si>
  <si>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</si>
  <si>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</si>
  <si>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</si>
  <si>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</si>
  <si>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</si>
  <si>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</si>
  <si>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</si>
  <si>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</si>
  <si>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</si>
  <si>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</si>
  <si>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</si>
  <si>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</si>
  <si>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</si>
  <si>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</si>
  <si>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</si>
  <si>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</si>
  <si>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</si>
  <si>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</si>
  <si>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</si>
  <si>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</si>
  <si>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</si>
  <si>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</si>
  <si>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</si>
  <si>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</si>
  <si>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</si>
  <si>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</si>
  <si>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</si>
  <si>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</si>
  <si>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</si>
  <si>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</si>
  <si>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</si>
  <si>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</si>
  <si>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</si>
  <si>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</si>
  <si>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</si>
  <si>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</si>
  <si>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</si>
  <si>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</si>
  <si>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</si>
  <si>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</si>
  <si>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</si>
  <si>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</si>
  <si>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</si>
  <si>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</si>
  <si>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</si>
  <si>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</si>
  <si>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</si>
  <si>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</si>
  <si>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</si>
  <si>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</si>
  <si>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</si>
  <si>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</si>
  <si>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</si>
  <si>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</si>
  <si>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</si>
  <si>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</si>
  <si>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</si>
  <si>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</si>
  <si>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</si>
  <si>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</si>
  <si>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</si>
  <si>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</si>
  <si>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</si>
  <si>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</si>
  <si>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</si>
  <si>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</si>
  <si>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</si>
  <si>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</si>
  <si>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</si>
  <si>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</si>
  <si>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</si>
  <si>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</si>
  <si>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</si>
  <si>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</si>
  <si>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</si>
  <si>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</si>
  <si>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</si>
  <si>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</si>
  <si>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</si>
  <si>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</si>
  <si>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</si>
  <si>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</si>
  <si>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</si>
  <si>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</si>
  <si>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</si>
  <si>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</si>
  <si>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</si>
  <si>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</si>
  <si>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</si>
  <si>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</si>
  <si>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</si>
  <si>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</si>
  <si>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</si>
  <si>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</si>
  <si>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</si>
  <si>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</si>
  <si>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</si>
  <si>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</si>
  <si>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</si>
  <si>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</si>
  <si>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</si>
  <si>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</si>
  <si>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</si>
  <si>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</si>
  <si>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</si>
  <si>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</si>
  <si>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</si>
  <si>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</si>
  <si>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</si>
  <si>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</si>
  <si>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</si>
  <si>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</si>
  <si>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</si>
  <si>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</si>
  <si>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</si>
  <si>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</si>
  <si>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</si>
  <si>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</si>
  <si>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</si>
  <si>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</si>
  <si>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</si>
  <si>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</si>
  <si>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</si>
  <si>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</si>
  <si>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</si>
  <si>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</si>
  <si>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</si>
  <si>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</si>
  <si>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</si>
  <si>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</si>
  <si>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</si>
  <si>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</si>
  <si>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</si>
  <si>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</si>
  <si>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</si>
  <si>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</si>
  <si>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</si>
  <si>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</si>
  <si>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</si>
  <si>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</si>
  <si>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</si>
  <si>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</si>
  <si>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</si>
  <si>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</si>
  <si>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</si>
  <si>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</si>
  <si>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</si>
  <si>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</si>
  <si>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</si>
  <si>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</si>
  <si>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</si>
  <si>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</si>
  <si>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</si>
  <si>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</si>
  <si>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</si>
  <si>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</si>
  <si>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</si>
  <si>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</si>
  <si>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</si>
  <si>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</si>
  <si>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</si>
  <si>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</si>
  <si>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</si>
  <si>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</si>
  <si>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</si>
  <si>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</si>
  <si>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</si>
  <si>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</si>
  <si>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</si>
  <si>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</si>
  <si>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</si>
  <si>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</si>
  <si>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</si>
  <si>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</si>
  <si>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</si>
  <si>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</si>
  <si>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</si>
  <si>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</si>
  <si>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</si>
  <si>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</si>
  <si>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</si>
  <si>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</si>
  <si>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</si>
  <si>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</si>
  <si>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</si>
  <si>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</si>
  <si>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</si>
  <si>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</si>
  <si>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</si>
  <si>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</si>
  <si>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</si>
  <si>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</si>
  <si>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</si>
  <si>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</si>
  <si>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</si>
  <si>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</si>
  <si>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</si>
  <si>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</si>
  <si>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</si>
  <si>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</si>
  <si>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</si>
  <si>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</si>
  <si>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</si>
  <si>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</si>
  <si>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</si>
  <si>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</si>
  <si>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</si>
  <si>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</si>
  <si>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</si>
  <si>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</si>
  <si>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</si>
  <si>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</si>
  <si>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</si>
  <si>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</si>
  <si>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</si>
  <si>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</si>
  <si>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</si>
  <si>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</si>
  <si>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</si>
  <si>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</si>
  <si>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</si>
  <si>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</si>
  <si>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</si>
  <si>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</si>
  <si>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</si>
  <si>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</si>
  <si>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</si>
  <si>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</si>
  <si>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</si>
  <si>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</si>
  <si>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</si>
  <si>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</si>
  <si>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</si>
  <si>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</si>
  <si>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</si>
  <si>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</si>
  <si>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</si>
  <si>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</si>
  <si>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</si>
  <si>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</si>
  <si>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</si>
  <si>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</si>
  <si>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</si>
  <si>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</si>
  <si>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</si>
  <si>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</si>
  <si>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</si>
  <si>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</si>
  <si>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</si>
  <si>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</si>
  <si>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</si>
  <si>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</si>
  <si>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</si>
  <si>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</si>
  <si>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</si>
  <si>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</si>
  <si>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</si>
  <si>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</si>
  <si>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</si>
  <si>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</si>
  <si>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</si>
  <si>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</si>
  <si>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</si>
  <si>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</si>
  <si>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</si>
  <si>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</si>
  <si>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</si>
  <si>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</si>
  <si>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</si>
  <si>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</si>
  <si>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</si>
  <si>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</si>
  <si>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</si>
  <si>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</si>
  <si>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</si>
  <si>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</si>
  <si>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</si>
  <si>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</si>
  <si>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</si>
  <si>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</si>
  <si>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</si>
  <si>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</si>
  <si>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</si>
  <si>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</si>
  <si>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</si>
  <si>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</si>
  <si>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</si>
  <si>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</si>
  <si>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</si>
  <si>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</si>
  <si>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</si>
  <si>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</si>
  <si>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</si>
  <si>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</si>
  <si>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</si>
  <si>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</si>
  <si>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</si>
  <si>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</si>
  <si>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</si>
  <si>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</si>
  <si>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</si>
  <si>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</si>
  <si>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</si>
  <si>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</si>
  <si>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</si>
  <si>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</si>
  <si>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</si>
  <si>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</si>
  <si>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</si>
  <si>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</si>
  <si>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</si>
  <si>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</si>
  <si>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</si>
  <si>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</si>
  <si>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</si>
  <si>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</si>
  <si>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</si>
  <si>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</si>
  <si>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</si>
  <si>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</si>
  <si>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</si>
  <si>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</si>
  <si>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</si>
  <si>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</si>
  <si>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</si>
  <si>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</si>
  <si>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</si>
  <si>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</si>
  <si>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</si>
  <si>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</si>
  <si>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</si>
  <si>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</si>
  <si>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</si>
  <si>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</si>
  <si>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</si>
  <si>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</si>
  <si>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</si>
  <si>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</si>
  <si>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</si>
  <si>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</si>
  <si>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</si>
  <si>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</si>
  <si>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</si>
  <si>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</si>
  <si>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</si>
  <si>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</si>
  <si>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</si>
  <si>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</si>
  <si>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</si>
  <si>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</si>
  <si>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</si>
  <si>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</si>
  <si>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</si>
  <si>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</si>
  <si>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</si>
  <si>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</si>
  <si>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</si>
  <si>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</si>
  <si>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</si>
  <si>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</si>
  <si>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</si>
  <si>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</si>
  <si>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</si>
  <si>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</si>
  <si>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</si>
  <si>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</si>
  <si>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</si>
  <si>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</si>
  <si>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</si>
  <si>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</si>
  <si>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</si>
  <si>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</si>
  <si>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</si>
  <si>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</si>
  <si>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</si>
  <si>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</si>
  <si>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</si>
  <si>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</si>
  <si>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</si>
  <si>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</si>
  <si>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</si>
  <si>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</si>
  <si>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</si>
  <si>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</si>
  <si>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</si>
  <si>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</si>
  <si>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</si>
  <si>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</si>
  <si>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</si>
  <si>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</si>
  <si>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</si>
  <si>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</si>
  <si>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</si>
  <si>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</si>
  <si>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</si>
  <si>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</si>
  <si>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</si>
  <si>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</si>
  <si>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</si>
  <si>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</si>
  <si>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</si>
  <si>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</si>
  <si>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</si>
  <si>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</si>
  <si>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</si>
  <si>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</si>
  <si>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</si>
  <si>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</si>
  <si>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</si>
  <si>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</si>
  <si>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</si>
  <si>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</si>
  <si>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</si>
  <si>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</si>
  <si>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</si>
  <si>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</si>
  <si>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</si>
  <si>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</si>
  <si>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</si>
  <si>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</si>
  <si>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</si>
  <si>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</si>
  <si>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</si>
  <si>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</si>
  <si>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</si>
  <si>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</si>
  <si>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</si>
  <si>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</si>
  <si>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</si>
  <si>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</si>
  <si>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</si>
  <si>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</si>
  <si>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</si>
  <si>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</si>
  <si>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</si>
  <si>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</si>
  <si>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</si>
  <si>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</si>
  <si>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</si>
  <si>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</si>
  <si>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</si>
  <si>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</si>
  <si>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</si>
  <si>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</si>
  <si>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</si>
  <si>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</si>
  <si>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</si>
  <si>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</si>
  <si>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</si>
  <si>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</si>
  <si>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</si>
  <si>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</si>
  <si>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</si>
  <si>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</si>
  <si>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</si>
  <si>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</si>
  <si>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</si>
  <si>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</si>
  <si>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</si>
  <si>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</si>
  <si>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</si>
  <si>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</si>
  <si>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</si>
  <si>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</si>
  <si>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</si>
  <si>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</si>
  <si>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</si>
  <si>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</si>
  <si>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</si>
  <si>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</si>
  <si>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</si>
  <si>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</si>
  <si>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</si>
  <si>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</si>
  <si>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</si>
  <si>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</si>
  <si>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</si>
  <si>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</si>
  <si>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</si>
  <si>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</si>
  <si>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</si>
  <si>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</si>
  <si>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</si>
  <si>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</si>
  <si>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</si>
  <si>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</si>
  <si>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</si>
  <si>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</si>
  <si>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</si>
  <si>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</si>
  <si>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</si>
  <si>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</si>
  <si>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</si>
  <si>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</si>
  <si>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</si>
  <si>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</si>
  <si>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</si>
  <si>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</si>
  <si>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</si>
  <si>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</si>
  <si>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</si>
  <si>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</si>
  <si>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</si>
  <si>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</si>
  <si>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</si>
  <si>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</si>
  <si>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</si>
  <si>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</si>
  <si>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</si>
  <si>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</si>
  <si>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</si>
  <si>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</si>
  <si>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</si>
  <si>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</si>
  <si>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</si>
  <si>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</si>
  <si>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</si>
  <si>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</si>
  <si>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</si>
  <si>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</si>
  <si>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</si>
  <si>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</si>
  <si>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</si>
  <si>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</si>
  <si>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</si>
  <si>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</si>
  <si>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</si>
  <si>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</si>
  <si>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</si>
  <si>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</si>
  <si>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</si>
  <si>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</si>
  <si>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</si>
  <si>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</si>
  <si>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</si>
  <si>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</si>
  <si>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</si>
  <si>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</si>
  <si>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</si>
  <si>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</si>
  <si>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</si>
  <si>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</si>
  <si>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</si>
  <si>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</si>
  <si>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</si>
  <si>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</si>
  <si>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</si>
  <si>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</si>
  <si>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</si>
  <si>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</si>
  <si>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</si>
  <si>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</si>
  <si>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</si>
  <si>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</si>
  <si>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</si>
  <si>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</si>
  <si>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</si>
  <si>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</si>
  <si>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</si>
  <si>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</si>
  <si>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</si>
  <si>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</si>
  <si>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</si>
  <si>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</si>
  <si>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</si>
  <si>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</si>
  <si>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</si>
  <si>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</si>
  <si>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</si>
  <si>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</si>
  <si>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</si>
  <si>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</si>
  <si>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</si>
  <si>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</si>
  <si>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</si>
  <si>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</si>
  <si>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</si>
  <si>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</si>
  <si>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</si>
  <si>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</si>
  <si>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</si>
  <si>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</si>
  <si>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</si>
  <si>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</si>
  <si>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</si>
  <si>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</si>
  <si>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</si>
  <si>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</si>
  <si>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</si>
  <si>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</si>
  <si>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</si>
  <si>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</si>
  <si>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</si>
  <si>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</si>
  <si>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</si>
  <si>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</si>
  <si>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</si>
  <si>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</si>
  <si>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</si>
  <si>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</si>
  <si>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</si>
  <si>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</si>
  <si>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</si>
  <si>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</si>
  <si>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</si>
  <si>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</si>
  <si>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</si>
  <si>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</si>
  <si>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</si>
  <si>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</si>
  <si>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</si>
  <si>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</si>
  <si>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</si>
  <si>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</si>
  <si>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</si>
  <si>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</si>
  <si>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</si>
  <si>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</si>
  <si>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</si>
  <si>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</si>
  <si>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</si>
  <si>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</si>
  <si>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</si>
  <si>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</si>
  <si>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</si>
  <si>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</si>
  <si>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</si>
  <si>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</si>
  <si>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</si>
  <si>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</si>
  <si>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</si>
  <si>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</si>
  <si>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</si>
  <si>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</si>
  <si>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</si>
  <si>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</si>
  <si>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</si>
  <si>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</si>
  <si>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</si>
  <si>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</si>
  <si>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</si>
  <si>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</si>
  <si>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</si>
  <si>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</si>
  <si>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</si>
  <si>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</si>
  <si>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</si>
  <si>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</si>
  <si>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</si>
  <si>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</si>
  <si>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</si>
  <si>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</si>
  <si>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</si>
  <si>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</si>
  <si>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</si>
  <si>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</si>
  <si>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</si>
  <si>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</si>
  <si>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</si>
  <si>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</si>
  <si>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</si>
  <si>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</si>
  <si>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</si>
  <si>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</si>
  <si>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</si>
  <si>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</si>
  <si>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</si>
  <si>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</si>
  <si>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</si>
  <si>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</si>
  <si>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</si>
  <si>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</si>
  <si>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</si>
  <si>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</si>
  <si>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</si>
  <si>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</si>
  <si>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</si>
  <si>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</si>
  <si>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</si>
  <si>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</si>
  <si>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</si>
  <si>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</si>
  <si>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</si>
  <si>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</si>
  <si>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</si>
  <si>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</si>
  <si>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</si>
  <si>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</si>
  <si>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</si>
  <si>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</si>
  <si>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</si>
  <si>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</si>
  <si>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</si>
  <si>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</si>
  <si>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</si>
  <si>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</si>
  <si>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</si>
  <si>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</si>
  <si>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</si>
  <si>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</si>
  <si>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</si>
  <si>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</si>
  <si>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</si>
  <si>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</si>
  <si>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</si>
  <si>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</si>
  <si>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</si>
  <si>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</si>
  <si>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</si>
  <si>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</si>
  <si>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</si>
  <si>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</si>
  <si>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</si>
  <si>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</si>
  <si>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</si>
  <si>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</si>
  <si>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</si>
  <si>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</si>
  <si>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</si>
  <si>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</si>
  <si>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</si>
  <si>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</si>
  <si>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</si>
  <si>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</si>
  <si>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</si>
  <si>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</si>
  <si>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</si>
  <si>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</si>
  <si>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</si>
  <si>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</si>
  <si>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</si>
  <si>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</si>
  <si>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</si>
  <si>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</si>
  <si>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</si>
  <si>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</si>
  <si>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</si>
  <si>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</si>
  <si>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</si>
  <si>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</si>
  <si>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</si>
  <si>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</si>
  <si>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</si>
  <si>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</si>
  <si>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</si>
  <si>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</si>
  <si>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</si>
  <si>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</si>
  <si>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</si>
  <si>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</si>
  <si>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</si>
  <si>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</si>
  <si>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</si>
  <si>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</si>
  <si>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</si>
  <si>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</si>
  <si>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</si>
  <si>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</si>
  <si>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</si>
  <si>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</si>
  <si>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</si>
  <si>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</si>
  <si>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</si>
  <si>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</si>
  <si>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</si>
  <si>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</si>
  <si>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</si>
  <si>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</si>
  <si>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</si>
  <si>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</si>
  <si>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</si>
  <si>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</si>
  <si>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</si>
  <si>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</si>
  <si>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</si>
  <si>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</si>
  <si>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</si>
  <si>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</si>
  <si>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</si>
  <si>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</si>
  <si>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</si>
  <si>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</si>
  <si>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</si>
  <si>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</si>
  <si>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</si>
  <si>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</si>
  <si>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</si>
  <si>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</si>
  <si>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</si>
  <si>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</si>
  <si>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</si>
  <si>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</si>
  <si>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</si>
  <si>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</si>
  <si>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</si>
  <si>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</si>
  <si>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</si>
  <si>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</si>
  <si>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</si>
  <si>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</si>
  <si>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</si>
  <si>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</si>
  <si>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</si>
  <si>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</si>
  <si>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</si>
  <si>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</si>
  <si>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</si>
  <si>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</si>
  <si>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</si>
  <si>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</si>
  <si>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</si>
  <si>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</si>
  <si>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</si>
  <si>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</si>
  <si>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</si>
  <si>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</si>
  <si>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</si>
  <si>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</si>
  <si>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</si>
  <si>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</si>
  <si>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</si>
  <si>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</si>
  <si>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</si>
  <si>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</si>
  <si>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</si>
  <si>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</si>
  <si>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</si>
  <si>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</si>
  <si>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</si>
  <si>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</si>
  <si>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</si>
  <si>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</si>
  <si>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</si>
  <si>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</si>
  <si>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</si>
  <si>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</si>
  <si>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</si>
  <si>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</si>
  <si>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</si>
  <si>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</si>
  <si>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</si>
  <si>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</si>
  <si>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</si>
  <si>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</si>
  <si>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</si>
  <si>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</si>
  <si>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</si>
  <si>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</si>
  <si>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</si>
  <si>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</si>
  <si>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</si>
  <si>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</si>
  <si>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</si>
  <si>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</si>
  <si>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</si>
  <si>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</si>
  <si>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</si>
  <si>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</si>
  <si>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</si>
  <si>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</si>
  <si>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</si>
  <si>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</si>
  <si>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</si>
  <si>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</si>
  <si>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</si>
  <si>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</si>
  <si>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</si>
  <si>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</si>
  <si>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</si>
  <si>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</si>
  <si>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</si>
  <si>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</si>
  <si>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</si>
  <si>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</si>
  <si>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</si>
  <si>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</si>
  <si>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</si>
  <si>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</si>
  <si>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</si>
  <si>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</si>
  <si>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</si>
  <si>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</si>
  <si>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</si>
  <si>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</si>
  <si>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</si>
  <si>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</si>
  <si>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</si>
  <si>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</si>
  <si>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</si>
  <si>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</si>
  <si>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</si>
  <si>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</si>
  <si>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</si>
  <si>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</si>
  <si>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</si>
  <si>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</si>
  <si>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</si>
  <si>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</si>
  <si>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</si>
  <si>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</si>
  <si>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</si>
  <si>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</si>
  <si>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</si>
  <si>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</si>
  <si>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</si>
  <si>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</si>
  <si>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</si>
  <si>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</si>
  <si>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</si>
  <si>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</si>
  <si>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</si>
  <si>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</si>
  <si>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</si>
  <si>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</si>
  <si>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</si>
  <si>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</si>
  <si>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</si>
  <si>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</si>
  <si>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</si>
  <si>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</si>
  <si>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</si>
  <si>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</si>
  <si>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</si>
  <si>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</si>
  <si>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</si>
  <si>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</si>
  <si>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</si>
  <si>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</si>
  <si>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</si>
  <si>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</si>
  <si>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</si>
  <si>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</si>
  <si>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</si>
  <si>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</si>
  <si>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</si>
  <si>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</si>
  <si>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</si>
  <si>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</si>
  <si>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</si>
  <si>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</si>
  <si>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</si>
  <si>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</si>
  <si>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</si>
  <si>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</si>
  <si>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</si>
  <si>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</si>
  <si>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</si>
  <si>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</si>
  <si>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</si>
  <si>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</si>
  <si>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</si>
  <si>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</si>
  <si>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</si>
  <si>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</si>
  <si>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</si>
  <si>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</si>
  <si>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</si>
  <si>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</si>
  <si>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</si>
  <si>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</si>
  <si>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</si>
  <si>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</si>
  <si>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</si>
  <si>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</si>
  <si>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</si>
  <si>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</si>
  <si>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</si>
  <si>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</si>
  <si>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</si>
  <si>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</si>
  <si>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</si>
  <si>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</si>
  <si>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</si>
  <si>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</si>
  <si>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</si>
  <si>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</si>
  <si>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</si>
  <si>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</si>
  <si>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</si>
  <si>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</si>
  <si>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</si>
  <si>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</si>
  <si>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</si>
  <si>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</si>
  <si>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</si>
  <si>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</si>
  <si>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</si>
  <si>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</si>
  <si>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</si>
  <si>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</si>
  <si>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</si>
  <si>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</si>
  <si>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</si>
  <si>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</si>
  <si>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</si>
  <si>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</si>
  <si>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</si>
  <si>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</si>
  <si>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</si>
  <si>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</si>
  <si>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</si>
  <si>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</si>
  <si>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</si>
  <si>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</si>
  <si>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</si>
  <si>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</si>
  <si>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</si>
  <si>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</si>
  <si>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</si>
  <si>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</si>
  <si>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</si>
  <si>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</si>
  <si>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</si>
  <si>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</si>
  <si>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</si>
  <si>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</si>
  <si>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</si>
  <si>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</si>
  <si>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</si>
  <si>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</si>
  <si>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</si>
  <si>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</si>
  <si>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</si>
  <si>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</si>
  <si>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</si>
  <si>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</si>
  <si>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</si>
  <si>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</si>
  <si>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</si>
  <si>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</si>
  <si>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</si>
  <si>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</si>
  <si>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</si>
  <si>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</si>
  <si>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</si>
  <si>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</si>
  <si>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</si>
  <si>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</si>
  <si>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</si>
  <si>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</si>
  <si>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</si>
  <si>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</si>
  <si>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</si>
  <si>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</si>
  <si>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</si>
  <si>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</si>
  <si>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</si>
  <si>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</si>
  <si>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</si>
  <si>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</si>
  <si>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</si>
  <si>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</si>
  <si>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</si>
  <si>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</si>
  <si>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</si>
  <si>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</si>
  <si>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</si>
  <si>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</si>
  <si>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</si>
  <si>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</si>
  <si>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</si>
  <si>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</si>
  <si>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</si>
  <si>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</si>
  <si>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</si>
  <si>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</si>
  <si>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</si>
  <si>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</si>
  <si>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</si>
  <si>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</si>
  <si>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</si>
  <si>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</si>
  <si>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</si>
  <si>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</si>
  <si>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</si>
  <si>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</si>
  <si>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</si>
  <si>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</si>
  <si>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</si>
  <si>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</si>
  <si>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</si>
  <si>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</si>
  <si>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</si>
  <si>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</si>
  <si>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</si>
  <si>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</si>
  <si>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</si>
  <si>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</si>
  <si>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</si>
  <si>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</si>
  <si>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</si>
  <si>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</si>
  <si>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</si>
  <si>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</si>
  <si>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</si>
  <si>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</si>
  <si>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</si>
  <si>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</si>
  <si>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</si>
  <si>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</si>
  <si>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</si>
  <si>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</si>
  <si>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</si>
  <si>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</si>
  <si>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</si>
  <si>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</si>
  <si>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</si>
  <si>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</si>
  <si>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</si>
  <si>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</si>
  <si>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</si>
  <si>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</si>
  <si>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</si>
  <si>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</si>
  <si>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</si>
  <si>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</si>
  <si>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</si>
  <si>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</si>
  <si>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</si>
  <si>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</si>
  <si>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</si>
  <si>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</si>
  <si>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</si>
  <si>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</si>
  <si>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</si>
  <si>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</si>
  <si>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</si>
  <si>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</si>
  <si>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</si>
  <si>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</si>
  <si>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</si>
  <si>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</si>
  <si>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</si>
  <si>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</si>
  <si>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</si>
  <si>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</si>
  <si>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</si>
  <si>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</si>
  <si>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</si>
  <si>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</si>
  <si>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</si>
  <si>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</si>
  <si>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</si>
  <si>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</si>
  <si>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</si>
  <si>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</si>
  <si>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</si>
  <si>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</si>
  <si>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</si>
  <si>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</si>
  <si>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</si>
  <si>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</si>
  <si>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</si>
  <si>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</si>
  <si>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</si>
  <si>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</si>
  <si>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</si>
  <si>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</si>
  <si>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</si>
  <si>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</si>
  <si>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</si>
  <si>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</si>
  <si>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</si>
  <si>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</si>
  <si>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</si>
  <si>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</si>
  <si>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</si>
  <si>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</si>
  <si>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</si>
  <si>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</si>
  <si>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</si>
  <si>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</si>
  <si>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</si>
  <si>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</si>
  <si>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</si>
  <si>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</si>
  <si>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</si>
  <si>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</si>
  <si>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</si>
  <si>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</si>
  <si>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</si>
  <si>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</si>
  <si>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</si>
  <si>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</si>
  <si>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</si>
  <si>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</si>
  <si>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</si>
  <si>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</si>
  <si>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</si>
  <si>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</si>
  <si>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</si>
  <si>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</si>
  <si>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</si>
  <si>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</si>
  <si>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</si>
  <si>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</si>
  <si>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</si>
  <si>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</si>
  <si>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</si>
  <si>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</si>
  <si>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</si>
  <si>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</si>
  <si>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</si>
  <si>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</si>
  <si>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</si>
  <si>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</si>
  <si>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</si>
  <si>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</si>
  <si>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</si>
  <si>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</si>
  <si>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</si>
  <si>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</si>
  <si>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</si>
  <si>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</si>
  <si>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</si>
  <si>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</si>
  <si>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</si>
  <si>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</si>
  <si>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</si>
  <si>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</si>
  <si>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</si>
  <si>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</si>
  <si>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</si>
  <si>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</si>
  <si>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</si>
  <si>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</si>
  <si>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</si>
  <si>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</si>
  <si>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</si>
  <si>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</si>
  <si>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</si>
  <si>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</si>
  <si>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</si>
  <si>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</si>
  <si>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</si>
  <si>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</si>
  <si>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</si>
  <si>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</si>
  <si>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</si>
  <si>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</si>
  <si>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</si>
  <si>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</si>
  <si>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</si>
  <si>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</si>
  <si>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</si>
  <si>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</si>
  <si>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</si>
  <si>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</si>
  <si>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</si>
  <si>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</si>
  <si>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</si>
  <si>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</si>
  <si>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</si>
  <si>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</si>
  <si>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</si>
  <si>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</si>
  <si>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</si>
  <si>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</si>
  <si>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</si>
  <si>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</si>
  <si>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</si>
  <si>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</si>
  <si>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</si>
  <si>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</si>
  <si>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</si>
  <si>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</si>
  <si>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</si>
  <si>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</si>
  <si>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</si>
  <si>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</si>
  <si>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</si>
  <si>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</si>
  <si>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</si>
  <si>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</si>
  <si>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</si>
  <si>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</si>
  <si>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</si>
  <si>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</si>
  <si>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</si>
  <si>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</si>
  <si>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</si>
  <si>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</si>
  <si>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</si>
  <si>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</si>
  <si>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</si>
  <si>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</si>
  <si>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</si>
  <si>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</si>
  <si>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</si>
  <si>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</si>
  <si>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</si>
  <si>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</si>
  <si>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</si>
  <si>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</si>
  <si>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</si>
  <si>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</si>
  <si>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</si>
  <si>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</si>
  <si>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</si>
  <si>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</si>
  <si>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</si>
  <si>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</si>
  <si>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</si>
  <si>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</si>
  <si>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</si>
  <si>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</si>
  <si>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</si>
  <si>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</si>
  <si>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</si>
  <si>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</si>
  <si>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</si>
  <si>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</si>
  <si>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</si>
  <si>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</si>
  <si>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</si>
  <si>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</si>
  <si>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</si>
  <si>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</si>
  <si>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</si>
  <si>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</si>
  <si>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</si>
  <si>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</si>
  <si>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</si>
  <si>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</si>
  <si>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</si>
  <si>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</si>
  <si>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</si>
  <si>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</si>
  <si>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</si>
  <si>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</si>
  <si>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</si>
  <si>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</si>
  <si>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</si>
  <si>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</si>
  <si>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</si>
  <si>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</si>
  <si>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</si>
  <si>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</si>
  <si>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</si>
  <si>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</si>
  <si>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</si>
  <si>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</si>
  <si>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</si>
  <si>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</si>
  <si>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</si>
  <si>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</si>
  <si>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</si>
  <si>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</si>
  <si>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</si>
  <si>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</si>
  <si>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</si>
  <si>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</si>
  <si>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</si>
  <si>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</si>
  <si>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</si>
  <si>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</si>
  <si>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</si>
  <si>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</si>
  <si>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</si>
  <si>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</si>
  <si>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</si>
  <si>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</si>
  <si>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</si>
  <si>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</si>
  <si>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</si>
  <si>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</si>
  <si>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</si>
  <si>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</si>
  <si>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</si>
  <si>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</si>
  <si>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</si>
  <si>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</si>
  <si>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</si>
  <si>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</si>
  <si>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</si>
  <si>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</si>
  <si>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</si>
  <si>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</si>
  <si>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</si>
  <si>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</si>
  <si>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</si>
  <si>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</si>
  <si>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</si>
  <si>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</si>
  <si>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</si>
  <si>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</si>
  <si>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</si>
  <si>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</si>
  <si>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</si>
  <si>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</si>
  <si>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</si>
  <si>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</si>
  <si>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</si>
  <si>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</si>
  <si>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</si>
  <si>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</si>
  <si>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</si>
  <si>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</si>
  <si>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</si>
  <si>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</si>
  <si>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</si>
  <si>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</si>
  <si>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</si>
  <si>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</si>
  <si>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</si>
  <si>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</si>
  <si>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</si>
  <si>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</si>
  <si>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</si>
  <si>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</si>
  <si>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</si>
  <si>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</si>
  <si>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</si>
  <si>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</si>
  <si>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</si>
  <si>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</si>
  <si>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</si>
  <si>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</si>
  <si>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</si>
  <si>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</si>
  <si>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</si>
  <si>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</si>
  <si>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</si>
  <si>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</si>
  <si>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</si>
  <si>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</si>
  <si>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</si>
  <si>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</si>
  <si>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</si>
  <si>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</si>
  <si>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</si>
  <si>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</si>
  <si>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</si>
  <si>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</si>
  <si>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</si>
  <si>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</si>
  <si>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</si>
  <si>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</si>
  <si>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</si>
  <si>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</si>
  <si>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</si>
  <si>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</si>
  <si>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</si>
  <si>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</si>
  <si>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</si>
  <si>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</si>
  <si>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</si>
  <si>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</si>
  <si>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</si>
  <si>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</si>
  <si>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</si>
  <si>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</si>
  <si>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</si>
  <si>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</si>
  <si>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</si>
  <si>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</si>
  <si>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</si>
  <si>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</si>
  <si>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</si>
  <si>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</si>
  <si>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</si>
  <si>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</si>
  <si>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</si>
  <si>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</si>
  <si>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</si>
  <si>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</si>
  <si>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</si>
  <si>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</si>
  <si>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</si>
  <si>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</si>
  <si>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</si>
  <si>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</si>
  <si>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</si>
  <si>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</si>
  <si>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</si>
  <si>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</si>
  <si>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</si>
  <si>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</si>
  <si>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</si>
  <si>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</si>
  <si>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</si>
  <si>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</si>
  <si>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</si>
  <si>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</si>
  <si>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</si>
  <si>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</si>
  <si>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</si>
  <si>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</si>
  <si>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</si>
  <si>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</si>
  <si>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</si>
  <si>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</si>
  <si>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</si>
  <si>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</si>
  <si>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</si>
  <si>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</si>
  <si>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</si>
  <si>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</si>
  <si>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</si>
  <si>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</si>
  <si>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</si>
  <si>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</si>
  <si>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</si>
  <si>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</si>
  <si>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</si>
  <si>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</si>
  <si>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</si>
  <si>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</si>
  <si>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</si>
  <si>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</si>
  <si>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</si>
  <si>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</si>
  <si>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</si>
  <si>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</si>
  <si>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</si>
  <si>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</si>
  <si>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</si>
  <si>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</si>
  <si>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</si>
  <si>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</si>
  <si>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</si>
  <si>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</si>
  <si>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</si>
  <si>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</si>
  <si>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</si>
  <si>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</si>
  <si>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</si>
  <si>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</si>
  <si>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</si>
  <si>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</si>
  <si>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</si>
  <si>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</si>
  <si>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</si>
  <si>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</si>
  <si>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</si>
  <si>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</si>
  <si>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</si>
  <si>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</si>
  <si>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</si>
  <si>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</si>
  <si>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</si>
  <si>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</si>
  <si>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</si>
  <si>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</si>
  <si>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</si>
  <si>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</si>
  <si>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</si>
  <si>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</si>
  <si>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</si>
  <si>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</si>
  <si>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</si>
  <si>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</si>
  <si>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</si>
  <si>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</si>
  <si>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</si>
  <si>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</si>
  <si>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</si>
  <si>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</si>
  <si>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</si>
  <si>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</si>
  <si>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</si>
  <si>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</si>
  <si>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</si>
  <si>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</si>
  <si>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</si>
  <si>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</si>
  <si>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</si>
  <si>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</si>
  <si>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</si>
  <si>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</si>
  <si>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</si>
  <si>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</si>
  <si>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</si>
  <si>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</si>
  <si>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</si>
  <si>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</si>
  <si>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</si>
  <si>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</si>
  <si>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</si>
  <si>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</si>
  <si>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</si>
  <si>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</si>
  <si>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</si>
  <si>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</si>
  <si>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</si>
  <si>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</si>
  <si>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</si>
  <si>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</si>
  <si>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</si>
  <si>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</si>
  <si>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</si>
  <si>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</si>
  <si>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</si>
  <si>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</si>
  <si>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</si>
  <si>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</si>
  <si>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</si>
  <si>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</si>
  <si>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</si>
  <si>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</si>
  <si>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</si>
  <si>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</si>
  <si>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</si>
  <si>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</si>
  <si>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</si>
  <si>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</si>
  <si>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</si>
  <si>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</si>
  <si>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</si>
  <si>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</si>
  <si>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</si>
  <si>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</si>
  <si>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</si>
  <si>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</si>
  <si>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</si>
  <si>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</si>
  <si>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</si>
  <si>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</si>
  <si>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</si>
  <si>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</si>
  <si>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</si>
  <si>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</si>
  <si>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</si>
  <si>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</si>
  <si>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</si>
  <si>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</si>
  <si>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</si>
  <si>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</si>
  <si>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</si>
  <si>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</si>
  <si>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</si>
  <si>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</si>
  <si>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</si>
  <si>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</si>
  <si>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</si>
  <si>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</si>
  <si>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</si>
  <si>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</si>
  <si>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</si>
  <si>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</si>
  <si>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</si>
  <si>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</si>
  <si>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</si>
  <si>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</si>
  <si>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</si>
  <si>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</si>
  <si>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</si>
  <si>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</si>
  <si>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</si>
  <si>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</si>
  <si>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</si>
  <si>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</si>
  <si>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</si>
  <si>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</si>
  <si>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</si>
  <si>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</si>
  <si>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</si>
  <si>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</si>
  <si>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</si>
  <si>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</si>
  <si>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</si>
  <si>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</si>
  <si>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</si>
  <si>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</si>
  <si>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</si>
  <si>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</si>
  <si>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</si>
  <si>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</si>
  <si>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</si>
  <si>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</si>
  <si>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</si>
  <si>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</si>
  <si>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</si>
  <si>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</si>
  <si>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</si>
  <si>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</si>
  <si>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</si>
  <si>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</si>
  <si>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</si>
  <si>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</si>
  <si>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</si>
  <si>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</si>
  <si>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</si>
  <si>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</si>
  <si>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</si>
  <si>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</si>
  <si>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</si>
  <si>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</si>
  <si>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</si>
  <si>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</si>
  <si>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</si>
  <si>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</si>
  <si>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</si>
  <si>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</si>
  <si>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</si>
  <si>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</si>
  <si>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</si>
  <si>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</si>
  <si>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</si>
  <si>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</si>
  <si>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</si>
  <si>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</si>
  <si>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</si>
  <si>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</si>
  <si>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</si>
  <si>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</si>
  <si>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</si>
  <si>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</si>
  <si>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</si>
  <si>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</si>
  <si>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</si>
  <si>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</si>
  <si>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</si>
  <si>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</si>
  <si>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</si>
  <si>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</si>
  <si>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</si>
  <si>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</si>
  <si>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</si>
  <si>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</si>
  <si>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</si>
  <si>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</si>
  <si>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</si>
  <si>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</si>
  <si>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</si>
  <si>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</si>
  <si>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</si>
  <si>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</si>
  <si>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</si>
  <si>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</si>
  <si>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</si>
  <si>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</si>
  <si>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</si>
  <si>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</si>
  <si>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</si>
  <si>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</si>
  <si>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</si>
  <si>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</si>
  <si>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</si>
  <si>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</si>
  <si>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</si>
  <si>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</si>
  <si>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</si>
  <si>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</si>
  <si>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</si>
  <si>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</si>
  <si>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</si>
  <si>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</si>
  <si>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</si>
  <si>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</si>
  <si>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</si>
  <si>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</si>
  <si>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</si>
  <si>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</si>
  <si>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</si>
  <si>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</si>
  <si>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</si>
  <si>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</si>
  <si>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</si>
  <si>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</si>
  <si>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</si>
  <si>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</si>
  <si>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</si>
  <si>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</si>
  <si>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</si>
  <si>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</si>
  <si>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</si>
  <si>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</si>
  <si>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</si>
  <si>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</si>
  <si>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</si>
  <si>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</si>
  <si>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</si>
  <si>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</si>
  <si>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</si>
  <si>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</si>
  <si>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</si>
  <si>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</si>
  <si>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</si>
  <si>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</si>
  <si>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</si>
  <si>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</si>
  <si>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</si>
  <si>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</si>
  <si>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</si>
  <si>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</si>
  <si>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</si>
  <si>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</si>
  <si>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</si>
  <si>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</si>
  <si>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</si>
  <si>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</si>
  <si>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</si>
  <si>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</si>
  <si>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</si>
  <si>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</si>
  <si>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</si>
  <si>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</si>
  <si>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</si>
  <si>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</si>
  <si>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</si>
  <si>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</si>
  <si>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</si>
  <si>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</si>
  <si>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</si>
  <si>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</si>
  <si>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</si>
  <si>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</si>
  <si>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</si>
  <si>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</si>
  <si>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</si>
  <si>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</si>
  <si>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</si>
  <si>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</si>
  <si>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</si>
  <si>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</si>
  <si>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</si>
  <si>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</si>
  <si>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</si>
  <si>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</si>
  <si>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</si>
  <si>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</si>
  <si>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</si>
  <si>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</si>
  <si>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</si>
  <si>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</si>
  <si>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</si>
  <si>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</si>
  <si>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</si>
  <si>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</si>
  <si>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</si>
  <si>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</si>
  <si>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</si>
  <si>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</si>
  <si>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</si>
  <si>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</si>
  <si>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</si>
  <si>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</si>
  <si>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</si>
  <si>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</si>
  <si>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</si>
  <si>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</si>
  <si>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</si>
  <si>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</si>
  <si>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</si>
  <si>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</si>
  <si>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</si>
  <si>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</si>
  <si>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</si>
  <si>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</si>
  <si>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</si>
  <si>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</si>
  <si>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</si>
  <si>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</si>
  <si>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</si>
  <si>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</si>
  <si>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</si>
  <si>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</si>
  <si>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</si>
  <si>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</si>
  <si>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</si>
  <si>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</si>
  <si>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</si>
  <si>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</si>
  <si>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</si>
  <si>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</si>
  <si>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</si>
  <si>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</si>
  <si>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</si>
  <si>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</si>
  <si>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</si>
  <si>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</si>
  <si>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</si>
  <si>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</si>
  <si>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</si>
  <si>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</si>
  <si>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</si>
  <si>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</si>
  <si>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</si>
  <si>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</si>
  <si>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</si>
  <si>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</si>
  <si>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</si>
  <si>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</si>
  <si>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</si>
  <si>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</si>
  <si>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</si>
  <si>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</si>
  <si>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</si>
  <si>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</si>
  <si>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</si>
  <si>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</si>
  <si>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</si>
  <si>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</si>
  <si>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</si>
  <si>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</si>
  <si>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</si>
  <si>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</si>
  <si>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</si>
  <si>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</si>
  <si>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</si>
  <si>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</si>
  <si>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</si>
  <si>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</si>
  <si>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</si>
  <si>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</si>
  <si>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</si>
  <si>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</si>
  <si>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</si>
  <si>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</si>
  <si>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</si>
  <si>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</si>
  <si>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</si>
  <si>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</si>
  <si>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</si>
  <si>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</si>
  <si>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</si>
  <si>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</si>
  <si>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</si>
  <si>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</si>
  <si>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</si>
  <si>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</si>
  <si>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</si>
  <si>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</si>
  <si>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</si>
  <si>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</si>
  <si>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</si>
  <si>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</si>
  <si>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</si>
  <si>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</si>
  <si>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</si>
  <si>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</si>
  <si>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</si>
  <si>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</si>
  <si>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</si>
  <si>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</si>
  <si>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</si>
  <si>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</si>
  <si>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</si>
  <si>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</si>
  <si>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</si>
  <si>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</si>
  <si>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</si>
  <si>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</si>
  <si>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</si>
  <si>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</si>
  <si>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</si>
  <si>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</si>
  <si>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</si>
  <si>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</si>
  <si>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</si>
  <si>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</si>
  <si>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</si>
  <si>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</si>
  <si>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</si>
  <si>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</si>
  <si>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</si>
  <si>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</si>
  <si>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</si>
  <si>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</si>
  <si>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</si>
  <si>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</si>
  <si>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</si>
  <si>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</si>
  <si>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</si>
  <si>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</si>
  <si>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</si>
  <si>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</si>
  <si>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</si>
  <si>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</si>
  <si>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</si>
  <si>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</si>
  <si>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</si>
  <si>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</si>
  <si>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</si>
  <si>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</si>
  <si>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</si>
  <si>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</si>
  <si>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</si>
  <si>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</si>
  <si>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</si>
  <si>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</si>
  <si>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</si>
  <si>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</si>
  <si>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</si>
  <si>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</si>
  <si>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</si>
  <si>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</si>
  <si>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</si>
  <si>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</si>
  <si>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</si>
  <si>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</si>
  <si>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</si>
  <si>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</si>
  <si>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</si>
  <si>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</si>
  <si>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</si>
  <si>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</si>
  <si>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</si>
  <si>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</si>
  <si>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</si>
  <si>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</si>
  <si>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</si>
  <si>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</si>
  <si>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</si>
  <si>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</si>
  <si>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</si>
  <si>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</si>
  <si>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</si>
  <si>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</si>
  <si>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</si>
  <si>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</si>
  <si>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</si>
  <si>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</si>
  <si>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</si>
  <si>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</si>
  <si>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</si>
  <si>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</si>
  <si>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</si>
  <si>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</si>
  <si>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</si>
  <si>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</si>
  <si>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</si>
  <si>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</si>
  <si>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</si>
  <si>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</si>
  <si>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</si>
  <si>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</si>
  <si>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</si>
  <si>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</si>
  <si>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</si>
  <si>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</si>
  <si>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</si>
  <si>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</si>
  <si>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</si>
  <si>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</si>
  <si>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</si>
  <si>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</si>
  <si>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</si>
  <si>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</si>
  <si>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</si>
  <si>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</si>
  <si>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</si>
  <si>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</si>
  <si>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</si>
  <si>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</si>
  <si>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</si>
  <si>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</si>
  <si>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</si>
  <si>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</si>
  <si>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</si>
  <si>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</si>
  <si>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</si>
  <si>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</si>
  <si>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</si>
  <si>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</si>
  <si>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</si>
  <si>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</si>
  <si>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</si>
  <si>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</si>
  <si>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</si>
  <si>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</si>
  <si>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</si>
  <si>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</si>
  <si>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</si>
  <si>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</si>
  <si>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</si>
  <si>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</si>
  <si>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</si>
  <si>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</si>
  <si>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</si>
  <si>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</si>
  <si>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</si>
  <si>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</si>
  <si>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</si>
  <si>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</si>
  <si>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</si>
  <si>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</si>
  <si>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</si>
  <si>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</si>
  <si>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</si>
  <si>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</si>
  <si>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</si>
  <si>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</si>
  <si>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</si>
  <si>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</si>
  <si>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</si>
  <si>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</si>
  <si>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</si>
  <si>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</si>
  <si>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</si>
  <si>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</si>
  <si>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</si>
  <si>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</si>
  <si>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</si>
  <si>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</si>
  <si>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</si>
  <si>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</si>
  <si>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</si>
  <si>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</si>
  <si>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</si>
  <si>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</si>
  <si>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</si>
  <si>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</si>
  <si>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</si>
  <si>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</si>
  <si>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</si>
  <si>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</si>
  <si>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</si>
  <si>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</si>
  <si>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</si>
  <si>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</si>
  <si>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</si>
  <si>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</si>
  <si>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</si>
  <si>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</si>
  <si>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</si>
  <si>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</si>
  <si>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</si>
  <si>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</si>
  <si>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</si>
  <si>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</si>
  <si>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</si>
  <si>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</si>
  <si>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</si>
  <si>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</si>
  <si>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</si>
  <si>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</si>
  <si>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</si>
  <si>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</si>
  <si>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</si>
  <si>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</si>
  <si>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</si>
  <si>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</si>
  <si>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</si>
  <si>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</si>
  <si>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</si>
  <si>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</si>
  <si>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</si>
  <si>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</si>
  <si>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</si>
  <si>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</si>
  <si>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</si>
  <si>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</si>
  <si>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</si>
  <si>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</si>
  <si>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</si>
  <si>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</si>
  <si>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</si>
  <si>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</si>
  <si>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</si>
  <si>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</si>
  <si>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</si>
  <si>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</si>
  <si>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</si>
  <si>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</si>
  <si>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</si>
  <si>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</si>
  <si>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</si>
  <si>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</si>
  <si>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</si>
  <si>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</si>
  <si>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</si>
  <si>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</si>
  <si>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</si>
  <si>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</si>
  <si>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</si>
  <si>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</si>
  <si>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</si>
  <si>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</si>
  <si>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</si>
  <si>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</si>
  <si>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</si>
  <si>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</si>
  <si>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</si>
  <si>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</si>
  <si>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</si>
  <si>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</si>
  <si>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</si>
  <si>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</si>
  <si>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</si>
  <si>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</si>
  <si>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</si>
  <si>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</si>
  <si>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</si>
  <si>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</si>
  <si>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</si>
  <si>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</si>
  <si>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</si>
  <si>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</si>
  <si>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</si>
  <si>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</si>
  <si>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</si>
  <si>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</si>
  <si>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</si>
  <si>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</si>
  <si>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</si>
  <si>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</si>
  <si>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</si>
  <si>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</si>
  <si>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</si>
  <si>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</si>
  <si>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</si>
  <si>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</si>
  <si>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</si>
  <si>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</si>
  <si>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</si>
  <si>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</si>
  <si>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</si>
  <si>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</si>
  <si>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</si>
  <si>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</si>
  <si>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</si>
  <si>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</si>
  <si>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</si>
  <si>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</si>
  <si>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</si>
  <si>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</si>
  <si>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</si>
  <si>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</si>
  <si>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</si>
  <si>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</si>
  <si>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</si>
  <si>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</si>
  <si>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</si>
  <si>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</si>
  <si>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</si>
  <si>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</si>
  <si>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</si>
  <si>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</si>
  <si>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</si>
  <si>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</si>
  <si>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</si>
  <si>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</si>
  <si>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</si>
  <si>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</si>
  <si>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</si>
  <si>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</si>
  <si>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</si>
  <si>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</si>
  <si>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</si>
  <si>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</si>
  <si>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</si>
  <si>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</si>
  <si>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</si>
  <si>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</si>
  <si>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</si>
  <si>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</si>
  <si>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</si>
  <si>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</si>
  <si>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</si>
  <si>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</si>
  <si>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</si>
  <si>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</si>
  <si>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</si>
  <si>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</si>
  <si>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</si>
  <si>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</si>
  <si>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</si>
  <si>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</si>
  <si>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</si>
  <si>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</si>
  <si>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</si>
  <si>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</si>
  <si>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</si>
  <si>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</si>
  <si>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</si>
  <si>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</si>
  <si>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</si>
  <si>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</si>
  <si>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</si>
  <si>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</si>
  <si>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</si>
  <si>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</si>
  <si>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</si>
  <si>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</si>
  <si>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</si>
  <si>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</si>
  <si>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</si>
  <si>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</si>
  <si>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</si>
  <si>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</si>
  <si>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</si>
  <si>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</si>
  <si>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</si>
  <si>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</si>
  <si>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</si>
  <si>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</si>
  <si>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</si>
  <si>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</si>
  <si>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</si>
  <si>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</si>
  <si>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</si>
  <si>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</si>
  <si>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</si>
  <si>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</si>
  <si>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</si>
  <si>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</si>
  <si>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</si>
  <si>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</si>
  <si>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</si>
  <si>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</si>
  <si>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</si>
  <si>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</si>
  <si>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</si>
  <si>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</si>
  <si>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</si>
  <si>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</si>
  <si>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</si>
  <si>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</si>
  <si>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</si>
  <si>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</si>
  <si>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</si>
  <si>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</si>
  <si>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</si>
  <si>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</si>
  <si>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</si>
  <si>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</si>
  <si>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</si>
  <si>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</si>
  <si>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</si>
  <si>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</si>
  <si>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</si>
  <si>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</si>
  <si>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</si>
  <si>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</si>
  <si>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</si>
  <si>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</si>
  <si>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</si>
  <si>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</si>
  <si>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</si>
  <si>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</si>
  <si>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</si>
  <si>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</si>
  <si>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</si>
  <si>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</si>
  <si>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</si>
  <si>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</si>
  <si>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</si>
  <si>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</si>
  <si>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</si>
  <si>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</si>
  <si>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</si>
  <si>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</si>
  <si>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</si>
  <si>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</si>
  <si>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</si>
  <si>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</si>
  <si>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</si>
  <si>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</si>
  <si>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</si>
  <si>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</si>
  <si>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</si>
  <si>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</si>
  <si>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</si>
  <si>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</si>
  <si>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</si>
  <si>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</si>
  <si>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</si>
  <si>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</si>
  <si>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</si>
  <si>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</si>
  <si>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</si>
  <si>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</si>
  <si>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</si>
  <si>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</si>
  <si>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</si>
  <si>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</si>
  <si>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</si>
  <si>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</si>
  <si>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</si>
  <si>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</si>
  <si>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</si>
  <si>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</si>
  <si>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</si>
  <si>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</si>
  <si>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</si>
  <si>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</si>
  <si>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</si>
  <si>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</si>
  <si>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</si>
  <si>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</si>
  <si>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</si>
  <si>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</si>
  <si>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</si>
  <si>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</si>
  <si>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</si>
  <si>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</si>
  <si>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</si>
  <si>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</si>
  <si>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</si>
  <si>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</si>
  <si>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</si>
  <si>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</si>
  <si>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</si>
  <si>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</si>
  <si>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</si>
  <si>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</si>
  <si>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</si>
  <si>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</si>
  <si>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</si>
  <si>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</si>
  <si>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</si>
  <si>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</si>
  <si>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</si>
  <si>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</si>
  <si>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</si>
  <si>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</si>
  <si>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</si>
  <si>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</si>
  <si>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</si>
  <si>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</si>
  <si>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</si>
  <si>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</si>
  <si>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</si>
  <si>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</si>
  <si>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</si>
  <si>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</si>
  <si>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</si>
  <si>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</si>
  <si>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</si>
  <si>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</si>
  <si>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</si>
  <si>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</si>
  <si>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</si>
  <si>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</si>
  <si>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</si>
  <si>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</si>
  <si>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</si>
  <si>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</si>
  <si>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</si>
  <si>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</si>
  <si>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</si>
  <si>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</si>
  <si>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</si>
  <si>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</si>
  <si>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</si>
  <si>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</si>
  <si>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</si>
  <si>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</si>
  <si>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</si>
  <si>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</si>
  <si>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</si>
  <si>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</si>
  <si>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</si>
  <si>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</si>
  <si>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</si>
  <si>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</si>
  <si>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</si>
  <si>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</si>
  <si>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</si>
  <si>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</si>
  <si>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</si>
  <si>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</si>
  <si>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</si>
  <si>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</si>
  <si>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</si>
  <si>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</si>
  <si>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</si>
  <si>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</si>
  <si>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</si>
  <si>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</si>
  <si>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</si>
  <si>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</si>
  <si>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</si>
  <si>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</si>
  <si>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</si>
  <si>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</si>
  <si>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</si>
  <si>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</si>
  <si>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</si>
  <si>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</si>
  <si>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</si>
  <si>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</si>
  <si>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</si>
  <si>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</si>
  <si>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</si>
  <si>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</si>
  <si>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</si>
  <si>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</si>
  <si>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</si>
  <si>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</si>
  <si>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</si>
  <si>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</si>
  <si>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</si>
  <si>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</si>
  <si>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</si>
  <si>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</si>
  <si>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</si>
  <si>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</si>
  <si>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</si>
  <si>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</si>
  <si>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</si>
  <si>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</si>
  <si>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</si>
  <si>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</si>
  <si>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</si>
  <si>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</si>
  <si>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</si>
  <si>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</si>
  <si>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</si>
  <si>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</si>
  <si>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</si>
  <si>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</si>
  <si>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</si>
  <si>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</si>
  <si>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</si>
  <si>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</si>
  <si>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</si>
  <si>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</si>
  <si>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</si>
  <si>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</si>
  <si>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</si>
  <si>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</si>
  <si>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</si>
  <si>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</si>
  <si>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</si>
  <si>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</si>
  <si>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</si>
  <si>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</si>
  <si>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</si>
  <si>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</si>
  <si>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</si>
  <si>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</si>
  <si>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</si>
  <si>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</si>
  <si>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</si>
  <si>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</si>
  <si>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</si>
  <si>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</si>
  <si>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</si>
  <si>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</si>
  <si>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</si>
  <si>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</si>
  <si>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</si>
  <si>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</si>
  <si>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</si>
  <si>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</si>
  <si>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</si>
  <si>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</si>
  <si>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</si>
  <si>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</si>
  <si>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</si>
  <si>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</si>
  <si>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</si>
  <si>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</si>
  <si>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</si>
  <si>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</si>
  <si>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</si>
  <si>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</si>
  <si>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</si>
  <si>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</si>
  <si>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</si>
  <si>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</si>
  <si>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</si>
  <si>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</si>
  <si>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</si>
  <si>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</si>
  <si>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</si>
  <si>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</si>
  <si>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</si>
  <si>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</si>
  <si>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</si>
  <si>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</si>
  <si>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</si>
  <si>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</si>
  <si>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</si>
  <si>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</si>
  <si>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</si>
  <si>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</si>
  <si>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</si>
  <si>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</si>
  <si>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</si>
  <si>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</si>
  <si>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</si>
  <si>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</si>
  <si>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</si>
  <si>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</si>
  <si>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</si>
  <si>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</si>
  <si>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</si>
  <si>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</si>
  <si>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</si>
  <si>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</si>
  <si>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</si>
  <si>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</si>
  <si>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</si>
  <si>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</si>
  <si>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</si>
  <si>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</si>
  <si>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</si>
  <si>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</si>
  <si>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</si>
  <si>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</si>
  <si>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</si>
  <si>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</si>
  <si>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</si>
  <si>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</si>
  <si>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</si>
  <si>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</si>
  <si>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</si>
  <si>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</si>
  <si>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</si>
  <si>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</si>
  <si>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</si>
  <si>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</si>
  <si>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</si>
  <si>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</si>
  <si>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</si>
  <si>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</si>
  <si>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</si>
  <si>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</si>
  <si>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</si>
  <si>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</si>
  <si>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</si>
  <si>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</si>
  <si>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</si>
  <si>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</si>
  <si>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</si>
  <si>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</si>
  <si>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</si>
  <si>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</si>
  <si>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</si>
  <si>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</si>
  <si>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</si>
  <si>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</si>
  <si>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</si>
  <si>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</si>
  <si>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</si>
  <si>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</si>
  <si>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</si>
  <si>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</si>
  <si>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</si>
  <si>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</si>
  <si>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</si>
  <si>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</si>
  <si>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</si>
  <si>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</si>
  <si>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</si>
  <si>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</si>
  <si>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</si>
  <si>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</si>
  <si>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</si>
  <si>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</si>
  <si>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</si>
  <si>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</si>
  <si>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</si>
  <si>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</si>
  <si>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</si>
  <si>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</si>
  <si>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</si>
  <si>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</si>
  <si>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</si>
  <si>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</si>
  <si>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</si>
  <si>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</si>
  <si>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</si>
  <si>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</si>
  <si>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</si>
  <si>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</si>
  <si>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</si>
  <si>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</si>
  <si>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</si>
  <si>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</si>
  <si>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</si>
  <si>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</si>
  <si>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</si>
  <si>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</si>
  <si>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</si>
  <si>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</si>
  <si>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</si>
  <si>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</si>
  <si>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</si>
  <si>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</si>
  <si>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</si>
  <si>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</si>
  <si>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</si>
  <si>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</si>
  <si>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</si>
  <si>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</si>
  <si>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</si>
  <si>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</si>
  <si>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</si>
  <si>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</si>
  <si>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</si>
  <si>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</si>
  <si>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</si>
  <si>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</si>
  <si>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</si>
  <si>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</si>
  <si>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</si>
  <si>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</si>
  <si>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</si>
  <si>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</si>
  <si>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</si>
  <si>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</si>
  <si>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</si>
  <si>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</si>
  <si>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</si>
  <si>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</si>
  <si>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</si>
  <si>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</si>
  <si>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</si>
  <si>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</si>
  <si>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</si>
  <si>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</si>
  <si>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</si>
  <si>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</si>
  <si>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</si>
  <si>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</si>
  <si>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</si>
  <si>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</si>
  <si>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</si>
  <si>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</si>
  <si>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</si>
  <si>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</si>
  <si>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</si>
  <si>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</si>
  <si>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</si>
  <si>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</si>
  <si>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</si>
  <si>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</si>
  <si>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</si>
  <si>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</si>
  <si>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</si>
  <si>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</si>
  <si>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</si>
  <si>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</si>
  <si>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</si>
  <si>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</si>
  <si>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</si>
  <si>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</si>
  <si>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</si>
  <si>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</si>
  <si>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</si>
  <si>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</si>
  <si>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</si>
  <si>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</si>
  <si>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</si>
  <si>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</si>
  <si>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</si>
  <si>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</si>
  <si>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</si>
  <si>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</si>
  <si>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</si>
  <si>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</si>
  <si>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</si>
  <si>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</si>
  <si>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</si>
  <si>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</si>
  <si>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</si>
  <si>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</si>
  <si>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</si>
  <si>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</si>
  <si>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</si>
  <si>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</si>
  <si>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</si>
  <si>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</si>
  <si>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</si>
  <si>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</si>
  <si>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</si>
  <si>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</si>
  <si>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</si>
  <si>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</si>
  <si>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</si>
  <si>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</si>
  <si>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</si>
  <si>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</si>
  <si>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</si>
  <si>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</si>
  <si>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</si>
  <si>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</si>
  <si>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</si>
  <si>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</si>
  <si>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</si>
  <si>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</si>
  <si>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</si>
  <si>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</si>
  <si>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</si>
  <si>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</si>
  <si>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</si>
  <si>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</si>
  <si>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</si>
  <si>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</si>
  <si>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</si>
  <si>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</si>
  <si>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</si>
  <si>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</si>
  <si>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</si>
  <si>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</si>
  <si>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</si>
  <si>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</si>
  <si>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</si>
  <si>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</si>
  <si>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</si>
  <si>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</si>
  <si>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</si>
  <si>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</si>
  <si>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</si>
  <si>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</si>
  <si>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</si>
  <si>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</si>
  <si>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</si>
  <si>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</si>
  <si>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</si>
  <si>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</si>
  <si>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</si>
  <si>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</si>
  <si>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</si>
  <si>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</si>
  <si>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</si>
  <si>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</si>
  <si>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</si>
  <si>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</si>
  <si>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</si>
  <si>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</si>
  <si>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</si>
  <si>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</si>
  <si>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</si>
  <si>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</si>
  <si>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</si>
  <si>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</si>
  <si>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</si>
  <si>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</si>
  <si>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</si>
  <si>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</si>
  <si>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</si>
  <si>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</si>
  <si>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</si>
  <si>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</si>
  <si>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</si>
  <si>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</si>
  <si>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</si>
  <si>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</si>
  <si>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</si>
  <si>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</si>
  <si>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</si>
  <si>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</si>
  <si>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</si>
  <si>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</si>
  <si>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</si>
  <si>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</si>
  <si>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</si>
  <si>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</si>
  <si>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</si>
  <si>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</si>
  <si>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</si>
  <si>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</si>
  <si>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</si>
  <si>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</si>
  <si>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</si>
  <si>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</si>
  <si>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</si>
  <si>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</si>
  <si>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</si>
  <si>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</si>
  <si>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</si>
  <si>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</si>
  <si>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</si>
  <si>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</si>
  <si>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</si>
  <si>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</si>
  <si>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</si>
  <si>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</si>
  <si>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</si>
  <si>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</si>
  <si>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</si>
  <si>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</si>
  <si>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</si>
  <si>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</si>
  <si>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</si>
  <si>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</si>
  <si>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</si>
  <si>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</si>
  <si>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</si>
  <si>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</si>
  <si>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</si>
  <si>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</si>
  <si>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</si>
  <si>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</si>
  <si>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</si>
  <si>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</si>
  <si>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</si>
  <si>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</si>
  <si>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</si>
  <si>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</si>
  <si>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</si>
  <si>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</si>
  <si>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</si>
  <si>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</si>
  <si>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</si>
  <si>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</si>
  <si>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</si>
  <si>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</si>
  <si>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</si>
  <si>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</si>
  <si>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</si>
  <si>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</si>
  <si>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</si>
  <si>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</si>
  <si>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</si>
  <si>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</si>
  <si>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</si>
  <si>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</si>
  <si>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</si>
  <si>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</si>
  <si>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</si>
  <si>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</si>
  <si>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</si>
  <si>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</si>
  <si>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</si>
  <si>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</si>
  <si>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</si>
  <si>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</si>
  <si>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</si>
  <si>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</si>
  <si>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</si>
  <si>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</si>
  <si>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</si>
  <si>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</si>
  <si>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</si>
  <si>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</si>
  <si>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</si>
  <si>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</si>
  <si>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</si>
  <si>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</si>
  <si>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</si>
  <si>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</si>
  <si>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</si>
  <si>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</si>
  <si>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</si>
  <si>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</si>
  <si>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</si>
  <si>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</si>
  <si>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</si>
  <si>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</si>
  <si>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</si>
  <si>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</si>
  <si>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</si>
  <si>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</si>
  <si>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</si>
  <si>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</si>
  <si>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</si>
  <si>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</si>
  <si>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</si>
  <si>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</si>
  <si>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</si>
  <si>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</si>
  <si>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</si>
  <si>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</si>
  <si>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</si>
  <si>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</si>
  <si>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</si>
  <si>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</si>
  <si>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</si>
  <si>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</si>
  <si>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</si>
  <si>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</si>
  <si>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</si>
  <si>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</si>
  <si>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</si>
  <si>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</si>
  <si>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</si>
  <si>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</si>
  <si>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</si>
  <si>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</si>
  <si>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</si>
  <si>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</si>
  <si>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</si>
  <si>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</si>
  <si>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</si>
  <si>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</si>
  <si>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</si>
  <si>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</si>
  <si>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</si>
  <si>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</si>
  <si>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</si>
  <si>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</si>
  <si>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</si>
  <si>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</si>
  <si>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</si>
  <si>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</si>
  <si>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</si>
  <si>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</si>
  <si>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</si>
  <si>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</si>
  <si>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</si>
  <si>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</si>
  <si>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</si>
  <si>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</si>
  <si>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</si>
  <si>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</si>
  <si>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</si>
  <si>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</si>
  <si>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</si>
  <si>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</si>
  <si>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</si>
  <si>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</si>
  <si>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</si>
  <si>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</si>
  <si>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</si>
  <si>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</si>
  <si>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</si>
  <si>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</si>
  <si>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</si>
  <si>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</si>
  <si>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</si>
  <si>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</si>
  <si>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</si>
  <si>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</si>
  <si>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</si>
  <si>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</si>
  <si>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</si>
  <si>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</si>
  <si>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</si>
  <si>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</si>
  <si>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</si>
  <si>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</si>
  <si>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</si>
  <si>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</si>
  <si>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</si>
  <si>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</si>
  <si>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</si>
  <si>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</si>
  <si>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</si>
  <si>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</si>
  <si>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</si>
  <si>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</si>
  <si>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</si>
  <si>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</si>
  <si>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</si>
  <si>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</si>
  <si>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</si>
  <si>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</si>
  <si>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</si>
  <si>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</si>
  <si>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</si>
  <si>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</si>
  <si>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</si>
  <si>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</si>
  <si>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</si>
  <si>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</si>
  <si>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</si>
  <si>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</si>
  <si>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</si>
  <si>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</si>
  <si>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</si>
  <si>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</si>
  <si>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</si>
  <si>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</si>
  <si>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</si>
  <si>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</si>
  <si>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</si>
  <si>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</si>
  <si>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</si>
  <si>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</si>
  <si>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</si>
  <si>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</si>
  <si>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</si>
  <si>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</si>
  <si>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</si>
  <si>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</si>
  <si>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</si>
  <si>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</si>
  <si>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</si>
  <si>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</si>
  <si>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</si>
  <si>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</si>
  <si>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</si>
  <si>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</si>
  <si>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</si>
  <si>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</si>
  <si>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</si>
  <si>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</si>
  <si>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</si>
  <si>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</si>
  <si>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</si>
  <si>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</si>
  <si>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</si>
  <si>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</si>
  <si>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</si>
  <si>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</si>
  <si>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</si>
  <si>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</si>
  <si>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</si>
  <si>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</si>
  <si>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</si>
  <si>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</si>
  <si>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</si>
  <si>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</si>
  <si>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</si>
  <si>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</si>
  <si>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</si>
  <si>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</si>
  <si>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</si>
  <si>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</si>
  <si>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</si>
  <si>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</si>
  <si>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</si>
  <si>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</si>
  <si>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</si>
  <si>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</si>
  <si>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</si>
  <si>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</si>
  <si>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</si>
  <si>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</si>
  <si>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</si>
  <si>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</si>
  <si>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</si>
  <si>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</si>
  <si>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</si>
  <si>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</si>
  <si>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</si>
  <si>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</si>
  <si>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</si>
  <si>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</si>
  <si>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</si>
  <si>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</si>
  <si>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</si>
  <si>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</si>
  <si>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</si>
  <si>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</si>
  <si>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</si>
  <si>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</si>
  <si>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</si>
  <si>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</si>
  <si>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</si>
  <si>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</si>
  <si>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</si>
  <si>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</si>
  <si>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</si>
  <si>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</si>
  <si>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</si>
  <si>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</si>
  <si>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</si>
  <si>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</si>
  <si>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</si>
  <si>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</si>
  <si>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</si>
  <si>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</si>
  <si>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</si>
  <si>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</si>
  <si>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</si>
  <si>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</si>
  <si>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</si>
  <si>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</si>
  <si>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</si>
  <si>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</si>
  <si>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</si>
  <si>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</si>
  <si>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</si>
  <si>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</si>
  <si>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</si>
  <si>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</si>
  <si>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</si>
  <si>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</si>
  <si>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</si>
  <si>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</si>
  <si>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</si>
  <si>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</si>
  <si>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</si>
  <si>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</si>
  <si>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</si>
  <si>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</si>
  <si>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</si>
  <si>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</si>
  <si>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</si>
  <si>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</si>
  <si>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</si>
  <si>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</si>
  <si>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</si>
  <si>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</si>
  <si>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</si>
  <si>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</si>
  <si>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</si>
  <si>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</si>
  <si>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</si>
  <si>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</si>
  <si>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</si>
  <si>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</si>
  <si>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</si>
  <si>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</si>
  <si>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</si>
  <si>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</si>
  <si>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</si>
  <si>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</si>
  <si>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</si>
  <si>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</si>
  <si>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</si>
  <si>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</si>
  <si>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</si>
  <si>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</si>
  <si>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</si>
  <si>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</si>
  <si>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</si>
  <si>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</si>
  <si>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</si>
  <si>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</si>
  <si>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</si>
  <si>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</si>
  <si>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</si>
  <si>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</si>
  <si>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</si>
  <si>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</si>
  <si>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</si>
  <si>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</si>
  <si>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</si>
  <si>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</si>
  <si>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</si>
  <si>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</si>
  <si>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</si>
  <si>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</si>
  <si>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</si>
  <si>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</si>
  <si>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</si>
  <si>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</si>
  <si>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</si>
  <si>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</si>
  <si>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</si>
  <si>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</si>
  <si>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</si>
  <si>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</si>
  <si>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</si>
  <si>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</si>
  <si>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</si>
  <si>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</si>
  <si>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</si>
  <si>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</si>
  <si>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</si>
  <si>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</si>
  <si>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</si>
  <si>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</si>
  <si>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</si>
  <si>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</si>
  <si>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</si>
  <si>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</si>
  <si>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</si>
  <si>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</si>
  <si>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</si>
  <si>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</si>
  <si>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</si>
  <si>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</si>
  <si>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</si>
  <si>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</si>
  <si>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</si>
  <si>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</si>
  <si>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</si>
  <si>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</si>
  <si>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</si>
  <si>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</si>
  <si>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</si>
  <si>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</si>
  <si>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</si>
  <si>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</si>
  <si>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</si>
  <si>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</si>
  <si>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</si>
  <si>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</si>
  <si>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</si>
  <si>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</si>
  <si>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</si>
  <si>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</si>
  <si>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</si>
  <si>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</si>
  <si>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</si>
  <si>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</si>
  <si>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</si>
  <si>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</si>
  <si>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</si>
  <si>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</si>
  <si>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</si>
  <si>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</si>
  <si>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</si>
  <si>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</si>
  <si>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</si>
  <si>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</si>
  <si>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</si>
  <si>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</si>
  <si>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</si>
  <si>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</si>
  <si>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</si>
  <si>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</si>
  <si>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</si>
  <si>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</si>
  <si>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</si>
  <si>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</si>
  <si>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</si>
  <si>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</si>
  <si>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</si>
  <si>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</si>
  <si>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</si>
  <si>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</si>
  <si>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</si>
  <si>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</si>
  <si>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</si>
  <si>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</si>
  <si>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</si>
  <si>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</si>
  <si>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</si>
  <si>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</si>
  <si>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</si>
  <si>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</si>
  <si>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</si>
  <si>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</si>
  <si>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</si>
  <si>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</si>
  <si>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</si>
  <si>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</si>
  <si>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</si>
  <si>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</si>
  <si>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</si>
  <si>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</si>
  <si>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</si>
  <si>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</si>
  <si>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</si>
  <si>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</si>
  <si>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</si>
  <si>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</si>
  <si>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</si>
  <si>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</si>
  <si>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</si>
  <si>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</si>
  <si>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</si>
  <si>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</si>
  <si>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</si>
  <si>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</si>
  <si>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</si>
  <si>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</si>
  <si>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</si>
  <si>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</si>
  <si>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</si>
  <si>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</si>
  <si>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</si>
  <si>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</si>
  <si>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</si>
  <si>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</si>
  <si>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</si>
  <si>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</si>
  <si>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</si>
  <si>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</si>
  <si>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</si>
  <si>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</si>
  <si>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</si>
  <si>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</si>
  <si>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</si>
  <si>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</si>
  <si>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</si>
  <si>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</si>
  <si>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</si>
  <si>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</si>
  <si>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</si>
  <si>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</si>
  <si>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</si>
  <si>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</si>
  <si>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</si>
  <si>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</si>
  <si>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</si>
  <si>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</si>
  <si>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</si>
  <si>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</si>
  <si>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</si>
  <si>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</si>
  <si>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</si>
  <si>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</si>
  <si>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</si>
  <si>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</si>
  <si>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</si>
  <si>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</si>
  <si>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</si>
  <si>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</si>
  <si>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</si>
  <si>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</si>
  <si>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</si>
  <si>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</si>
  <si>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</si>
  <si>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</si>
  <si>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</si>
  <si>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</si>
  <si>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</si>
  <si>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</si>
  <si>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</si>
  <si>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</si>
  <si>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</si>
  <si>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</si>
  <si>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</si>
  <si>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</si>
  <si>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</si>
  <si>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</si>
  <si>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</si>
  <si>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</si>
  <si>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</si>
  <si>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</si>
  <si>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</si>
  <si>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</si>
  <si>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</si>
  <si>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</si>
  <si>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</si>
  <si>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</si>
  <si>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</si>
  <si>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</si>
  <si>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</si>
  <si>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</si>
  <si>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</si>
  <si>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</si>
  <si>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</si>
  <si>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</si>
  <si>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</si>
  <si>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</si>
  <si>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</si>
  <si>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</si>
  <si>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</si>
  <si>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</si>
  <si>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</si>
  <si>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</si>
  <si>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</si>
  <si>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</si>
  <si>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</si>
  <si>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</si>
  <si>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</si>
  <si>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</si>
  <si>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</si>
  <si>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</si>
  <si>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</si>
  <si>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</si>
  <si>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</si>
  <si>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</si>
  <si>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</si>
  <si>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</si>
  <si>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</si>
  <si>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</si>
  <si>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</si>
  <si>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</si>
  <si>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</si>
  <si>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</si>
  <si>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</si>
  <si>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</si>
  <si>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</si>
  <si>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</si>
  <si>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</si>
  <si>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</si>
  <si>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</si>
  <si>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</si>
  <si>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</si>
  <si>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</si>
  <si>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</si>
  <si>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</si>
  <si>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</si>
  <si>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</si>
  <si>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</si>
  <si>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</si>
  <si>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</si>
  <si>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</si>
  <si>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</si>
  <si>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</si>
  <si>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</si>
  <si>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</si>
  <si>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</si>
  <si>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</si>
  <si>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</si>
  <si>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</si>
  <si>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</si>
  <si>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</si>
  <si>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</si>
  <si>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</si>
  <si>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</si>
  <si>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</si>
  <si>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</si>
  <si>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</si>
  <si>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</si>
  <si>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</si>
  <si>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</si>
  <si>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</si>
  <si>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</si>
  <si>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</si>
  <si>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</si>
  <si>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</si>
  <si>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</si>
  <si>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</si>
  <si>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</si>
  <si>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</si>
  <si>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</si>
  <si>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</si>
  <si>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</si>
  <si>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</si>
  <si>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</si>
  <si>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</si>
  <si>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</si>
  <si>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</si>
  <si>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</si>
  <si>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</si>
  <si>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</si>
  <si>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</si>
  <si>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</si>
  <si>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</si>
  <si>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</si>
  <si>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</si>
  <si>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</si>
  <si>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</si>
  <si>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</si>
  <si>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</si>
  <si>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</si>
  <si>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</si>
  <si>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</si>
  <si>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</si>
  <si>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</si>
  <si>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</si>
  <si>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</si>
  <si>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</si>
  <si>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</si>
  <si>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</si>
  <si>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</si>
  <si>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</si>
  <si>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</si>
  <si>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</si>
  <si>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</si>
  <si>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</si>
  <si>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</si>
  <si>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</si>
  <si>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</si>
  <si>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</si>
  <si>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</si>
  <si>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</si>
  <si>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</si>
  <si>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</si>
  <si>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</si>
  <si>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</si>
  <si>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</si>
  <si>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</si>
  <si>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</si>
  <si>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</si>
  <si>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</si>
  <si>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</si>
  <si>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</si>
  <si>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</si>
  <si>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</si>
  <si>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</si>
  <si>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</si>
  <si>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</si>
  <si>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</si>
  <si>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</si>
  <si>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</si>
  <si>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</si>
  <si>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</si>
  <si>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</si>
  <si>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</si>
  <si>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</si>
  <si>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</si>
  <si>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</si>
  <si>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</si>
  <si>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</si>
  <si>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</si>
  <si>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</si>
  <si>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</si>
  <si>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</si>
  <si>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</si>
  <si>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</si>
  <si>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</si>
  <si>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</si>
  <si>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</si>
  <si>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</si>
  <si>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</si>
  <si>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</si>
  <si>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</si>
  <si>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</si>
  <si>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</si>
  <si>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</si>
  <si>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</si>
  <si>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</si>
  <si>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</si>
  <si>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</si>
  <si>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</si>
  <si>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</si>
  <si>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</si>
  <si>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</si>
  <si>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</si>
  <si>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</si>
  <si>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</si>
  <si>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</si>
  <si>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</si>
  <si>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</si>
  <si>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</si>
  <si>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</si>
  <si>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</si>
  <si>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</si>
  <si>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</si>
  <si>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</si>
  <si>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</si>
  <si>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</si>
  <si>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</si>
  <si>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</si>
  <si>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</si>
  <si>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</si>
  <si>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</si>
  <si>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</si>
  <si>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</si>
  <si>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</si>
  <si>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</si>
  <si>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</si>
  <si>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</si>
  <si>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</si>
  <si>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</si>
  <si>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</si>
  <si>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</si>
  <si>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</si>
  <si>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</si>
  <si>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</si>
  <si>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</si>
  <si>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</si>
  <si>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</si>
  <si>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</si>
  <si>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</si>
  <si>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</si>
  <si>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</si>
  <si>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</si>
  <si>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</si>
  <si>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</si>
  <si>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</si>
  <si>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</si>
  <si>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</si>
  <si>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</si>
  <si>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</si>
  <si>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</si>
  <si>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</si>
  <si>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</si>
  <si>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</si>
  <si>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</si>
  <si>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</si>
  <si>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</si>
  <si>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</si>
  <si>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</si>
  <si>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</si>
  <si>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</si>
  <si>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</si>
  <si>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</si>
  <si>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</si>
  <si>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</si>
  <si>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</si>
  <si>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</si>
  <si>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</si>
  <si>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</si>
  <si>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</si>
  <si>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</si>
  <si>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</si>
  <si>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</si>
  <si>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</si>
  <si>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</si>
  <si>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</si>
  <si>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</si>
  <si>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</si>
  <si>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</si>
  <si>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</si>
  <si>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</si>
  <si>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</si>
  <si>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</si>
  <si>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</si>
  <si>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</si>
  <si>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</si>
  <si>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</si>
  <si>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</si>
  <si>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</si>
  <si>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</si>
  <si>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</si>
  <si>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</si>
  <si>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</si>
  <si>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</si>
  <si>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</si>
  <si>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</si>
  <si>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</si>
  <si>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</si>
  <si>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</si>
  <si>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</si>
  <si>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</si>
  <si>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</si>
  <si>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</si>
  <si>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</si>
  <si>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</si>
  <si>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</si>
  <si>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</si>
  <si>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</si>
  <si>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</si>
  <si>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</si>
  <si>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</si>
  <si>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</si>
  <si>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</si>
  <si>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</si>
  <si>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</si>
  <si>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</si>
  <si>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</si>
  <si>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</si>
  <si>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</si>
  <si>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</si>
  <si>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</si>
  <si>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</si>
  <si>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</si>
  <si>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</si>
  <si>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</si>
  <si>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</si>
  <si>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</si>
  <si>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</si>
  <si>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</si>
  <si>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</si>
  <si>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</si>
  <si>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</si>
  <si>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</si>
  <si>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</si>
  <si>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</si>
  <si>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</si>
  <si>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</si>
  <si>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</si>
  <si>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</si>
  <si>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</si>
  <si>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</si>
  <si>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</si>
  <si>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</si>
  <si>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</si>
  <si>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</si>
  <si>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</si>
  <si>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</si>
  <si>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</si>
  <si>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</si>
  <si>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</si>
  <si>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</si>
  <si>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</si>
  <si>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</si>
  <si>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</si>
  <si>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</si>
  <si>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</si>
  <si>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</si>
  <si>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</si>
  <si>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</si>
  <si>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</si>
  <si>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</si>
  <si>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</si>
  <si>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</si>
  <si>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</si>
  <si>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</si>
  <si>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</si>
  <si>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</si>
  <si>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</si>
  <si>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</si>
  <si>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</si>
  <si>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</si>
  <si>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</si>
  <si>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</si>
  <si>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</si>
  <si>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</si>
  <si>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</si>
  <si>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</si>
  <si>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</si>
  <si>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</si>
  <si>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</si>
  <si>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</si>
  <si>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</si>
  <si>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</si>
  <si>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</si>
  <si>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</si>
  <si>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</si>
  <si>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</si>
  <si>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</si>
  <si>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</si>
  <si>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</si>
  <si>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</si>
  <si>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</si>
  <si>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</si>
  <si>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</si>
  <si>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</si>
  <si>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</si>
  <si>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</si>
  <si>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</si>
  <si>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</si>
  <si>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</si>
  <si>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</si>
  <si>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</si>
  <si>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</si>
  <si>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</si>
  <si>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</si>
  <si>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</si>
  <si>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</si>
  <si>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</si>
  <si>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</si>
  <si>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</si>
  <si>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</si>
  <si>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</si>
  <si>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</si>
  <si>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</si>
  <si>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</si>
  <si>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</si>
  <si>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</si>
  <si>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</si>
  <si>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</si>
  <si>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</si>
  <si>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</si>
  <si>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</si>
  <si>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</si>
  <si>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</si>
  <si>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</si>
  <si>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</si>
  <si>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</si>
  <si>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</si>
  <si>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</si>
  <si>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</si>
  <si>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</si>
  <si>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</si>
  <si>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</si>
  <si>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</si>
  <si>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</si>
  <si>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</si>
  <si>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</si>
  <si>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</si>
  <si>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</si>
  <si>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</si>
  <si>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</si>
  <si>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</si>
  <si>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</si>
  <si>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</si>
  <si>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</si>
  <si>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</si>
  <si>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</si>
  <si>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</si>
  <si>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</si>
  <si>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</si>
  <si>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</si>
  <si>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</si>
  <si>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</si>
  <si>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</si>
  <si>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</si>
  <si>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</si>
  <si>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</si>
  <si>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</si>
  <si>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</si>
  <si>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</si>
  <si>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</si>
  <si>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</si>
  <si>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</si>
  <si>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</si>
  <si>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</si>
  <si>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</si>
  <si>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</si>
  <si>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</si>
  <si>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</si>
  <si>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</si>
  <si>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</si>
  <si>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</si>
  <si>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</si>
  <si>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</si>
  <si>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</si>
  <si>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</si>
  <si>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</si>
  <si>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</si>
  <si>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</si>
  <si>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</si>
  <si>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</si>
  <si>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</si>
  <si>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</si>
  <si>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</si>
  <si>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</si>
  <si>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</si>
  <si>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</si>
  <si>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</si>
  <si>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</si>
  <si>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</si>
  <si>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</si>
  <si>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</si>
  <si>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</si>
  <si>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</si>
  <si>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</si>
  <si>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</si>
  <si>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</si>
  <si>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</si>
  <si>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</si>
  <si>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</si>
  <si>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</si>
  <si>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</si>
  <si>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</si>
  <si>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</si>
  <si>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</si>
  <si>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</si>
  <si>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</si>
  <si>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</si>
  <si>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</si>
  <si>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</si>
  <si>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</si>
  <si>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</si>
  <si>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</si>
  <si>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</si>
  <si>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</si>
  <si>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</si>
  <si>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</si>
  <si>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</si>
  <si>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</si>
  <si>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</si>
  <si>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</si>
  <si>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</si>
  <si>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</si>
  <si>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</si>
  <si>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</si>
  <si>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</si>
  <si>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</si>
  <si>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</si>
  <si>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</si>
  <si>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</si>
  <si>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</si>
  <si>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</si>
  <si>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</si>
  <si>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</si>
  <si>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</si>
  <si>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</si>
  <si>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</si>
  <si>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</si>
  <si>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</si>
  <si>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</si>
  <si>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</si>
  <si>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</si>
  <si>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</si>
  <si>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</si>
  <si>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</si>
  <si>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</si>
  <si>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</si>
  <si>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</si>
  <si>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</si>
  <si>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</si>
  <si>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</si>
  <si>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</si>
  <si>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</si>
  <si>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</si>
  <si>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</si>
  <si>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</si>
  <si>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</si>
  <si>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</si>
  <si>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</si>
  <si>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</si>
  <si>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</si>
  <si>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</si>
  <si>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</si>
  <si>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</si>
  <si>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</si>
  <si>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</si>
  <si>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</si>
  <si>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</si>
  <si>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</si>
  <si>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</si>
  <si>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</si>
  <si>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</si>
  <si>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</si>
  <si>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</si>
  <si>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</si>
  <si>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</si>
  <si>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</si>
  <si>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</si>
  <si>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</si>
  <si>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</si>
  <si>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</si>
  <si>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</si>
  <si>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</si>
  <si>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</si>
  <si>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</si>
  <si>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</si>
  <si>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</si>
  <si>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</si>
  <si>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</si>
  <si>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</si>
  <si>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</si>
  <si>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</si>
  <si>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</si>
  <si>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</si>
  <si>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</si>
  <si>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</si>
  <si>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</si>
  <si>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</si>
  <si>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</si>
  <si>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</si>
  <si>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</si>
  <si>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</si>
  <si>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</si>
  <si>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</si>
  <si>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</si>
  <si>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</si>
  <si>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</si>
  <si>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</si>
  <si>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</si>
  <si>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</si>
  <si>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</si>
  <si>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</si>
  <si>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</si>
  <si>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</si>
  <si>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</si>
  <si>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</si>
  <si>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</si>
  <si>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</si>
  <si>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</si>
  <si>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</si>
  <si>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</si>
  <si>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</si>
  <si>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</si>
  <si>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</si>
  <si>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</si>
  <si>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</si>
  <si>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</si>
  <si>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</si>
  <si>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</si>
  <si>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</si>
  <si>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</si>
  <si>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</si>
  <si>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</si>
  <si>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</si>
  <si>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</si>
  <si>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</si>
  <si>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</si>
  <si>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</si>
  <si>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</si>
  <si>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</si>
  <si>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</si>
  <si>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</si>
  <si>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</si>
  <si>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</si>
  <si>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</si>
  <si>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</si>
  <si>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</si>
  <si>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</si>
  <si>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</si>
  <si>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</si>
  <si>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</si>
  <si>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</si>
  <si>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</si>
  <si>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</si>
  <si>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</si>
  <si>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</si>
  <si>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</si>
  <si>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</si>
  <si>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</si>
  <si>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</si>
  <si>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</si>
  <si>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</si>
  <si>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</si>
  <si>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</si>
  <si>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</si>
  <si>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</si>
  <si>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</si>
  <si>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</si>
  <si>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</si>
  <si>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</si>
  <si>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</si>
  <si>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</si>
  <si>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</si>
  <si>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</si>
  <si>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</si>
  <si>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</si>
  <si>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</si>
  <si>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</si>
  <si>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</si>
  <si>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</si>
  <si>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</si>
  <si>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</si>
  <si>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</si>
  <si>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</si>
  <si>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</si>
  <si>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</si>
  <si>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</si>
  <si>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</si>
  <si>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</si>
  <si>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</si>
  <si>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</si>
  <si>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</si>
  <si>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</si>
  <si>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</si>
  <si>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</si>
  <si>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</si>
  <si>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</si>
  <si>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</si>
  <si>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</si>
  <si>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</si>
  <si>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</si>
  <si>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</si>
  <si>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</si>
  <si>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</si>
  <si>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</si>
  <si>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</si>
  <si>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</si>
  <si>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</si>
  <si>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</si>
  <si>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</si>
  <si>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</si>
  <si>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</si>
  <si>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</si>
  <si>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</si>
  <si>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</si>
  <si>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</si>
  <si>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</si>
  <si>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</si>
  <si>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</si>
  <si>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</si>
  <si>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</si>
  <si>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</si>
  <si>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</si>
  <si>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</si>
  <si>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</si>
  <si>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</si>
  <si>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</si>
  <si>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</si>
  <si>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</si>
  <si>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</si>
  <si>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</si>
  <si>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</si>
  <si>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</si>
  <si>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</si>
  <si>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</si>
  <si>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</si>
  <si>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</si>
  <si>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</si>
  <si>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</si>
  <si>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</si>
  <si>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</si>
  <si>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</si>
  <si>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</si>
  <si>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</si>
  <si>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</si>
  <si>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</si>
  <si>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</si>
  <si>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</si>
  <si>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</si>
  <si>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</si>
  <si>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</si>
  <si>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</si>
  <si>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</si>
  <si>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</si>
  <si>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</si>
  <si>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</si>
  <si>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</si>
  <si>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</si>
  <si>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</si>
  <si>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</si>
  <si>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</si>
  <si>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</si>
  <si>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</si>
  <si>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</si>
  <si>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</si>
  <si>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</si>
  <si>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</si>
  <si>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</si>
  <si>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</si>
  <si>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</si>
  <si>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</si>
  <si>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</si>
  <si>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</si>
  <si>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</si>
  <si>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</si>
  <si>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</si>
  <si>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</si>
  <si>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</si>
  <si>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</si>
  <si>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</si>
  <si>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</si>
  <si>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</si>
  <si>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</si>
  <si>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</si>
  <si>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</si>
  <si>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</si>
  <si>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</si>
  <si>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</si>
  <si>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</si>
  <si>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</si>
  <si>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</si>
  <si>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</si>
  <si>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</si>
  <si>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</si>
  <si>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</si>
  <si>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</si>
  <si>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</si>
  <si>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</si>
  <si>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</si>
  <si>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</si>
  <si>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</si>
  <si>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</si>
  <si>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</si>
  <si>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</si>
  <si>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</si>
  <si>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</si>
  <si>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</si>
  <si>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</si>
  <si>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</si>
  <si>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</si>
  <si>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</si>
  <si>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</si>
  <si>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</si>
  <si>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</si>
  <si>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</si>
  <si>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</si>
  <si>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</si>
  <si>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</si>
  <si>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</si>
  <si>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</si>
  <si>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</si>
  <si>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</si>
  <si>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</si>
  <si>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</si>
  <si>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</si>
  <si>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</si>
  <si>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</si>
  <si>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</si>
  <si>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</si>
  <si>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</si>
  <si>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</si>
  <si>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</si>
  <si>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</si>
  <si>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</si>
  <si>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</si>
  <si>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</si>
  <si>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</si>
  <si>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</si>
  <si>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</si>
  <si>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</si>
  <si>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</si>
  <si>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</si>
  <si>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</si>
  <si>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</si>
  <si>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</si>
  <si>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</si>
  <si>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</si>
  <si>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</si>
  <si>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</si>
  <si>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</si>
  <si>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</si>
  <si>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</si>
  <si>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</si>
  <si>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</si>
  <si>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</si>
  <si>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</si>
  <si>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</si>
  <si>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</si>
  <si>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</si>
  <si>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</si>
  <si>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</si>
  <si>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</si>
  <si>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</si>
  <si>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</si>
  <si>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</si>
  <si>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</si>
  <si>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</si>
  <si>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</si>
  <si>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</si>
  <si>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</si>
  <si>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</si>
  <si>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</si>
  <si>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</si>
  <si>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</si>
  <si>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</si>
  <si>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</si>
  <si>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</si>
  <si>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</si>
  <si>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</si>
  <si>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</si>
  <si>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</si>
  <si>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</si>
  <si>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</si>
  <si>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</si>
  <si>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</si>
  <si>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</si>
  <si>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</si>
  <si>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</si>
  <si>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</si>
  <si>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</si>
  <si>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</si>
  <si>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</si>
  <si>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</si>
  <si>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</si>
  <si>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</si>
  <si>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</si>
  <si>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</si>
  <si>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</si>
  <si>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</si>
  <si>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</si>
  <si>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</si>
  <si>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</si>
  <si>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</si>
  <si>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</si>
  <si>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</si>
  <si>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</si>
  <si>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</si>
  <si>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</si>
  <si>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</si>
  <si>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</si>
  <si>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</si>
  <si>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</si>
  <si>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</si>
  <si>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</si>
  <si>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</si>
  <si>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</si>
  <si>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</si>
  <si>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</si>
  <si>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</si>
  <si>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</si>
  <si>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</si>
  <si>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</si>
  <si>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</si>
  <si>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</si>
  <si>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</si>
  <si>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</si>
  <si>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</si>
  <si>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</si>
  <si>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</si>
  <si>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</si>
  <si>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</si>
  <si>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</si>
  <si>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</si>
  <si>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</si>
  <si>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</si>
  <si>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</si>
  <si>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</si>
  <si>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</si>
  <si>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</si>
  <si>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</si>
  <si>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</si>
  <si>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</si>
  <si>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</si>
  <si>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</si>
  <si>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</si>
  <si>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</si>
  <si>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</si>
  <si>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</si>
  <si>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</si>
  <si>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</si>
  <si>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</si>
  <si>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</si>
  <si>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</si>
  <si>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</si>
  <si>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</si>
  <si>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</si>
  <si>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</si>
  <si>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</si>
  <si>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</si>
  <si>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</si>
  <si>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</si>
  <si>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</si>
  <si>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</si>
  <si>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</si>
  <si>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</si>
  <si>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</si>
  <si>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</si>
  <si>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</si>
  <si>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</si>
  <si>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</si>
  <si>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</si>
  <si>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</si>
  <si>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</si>
  <si>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</si>
  <si>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</si>
  <si>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</si>
  <si>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</si>
  <si>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</si>
  <si>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</si>
  <si>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</si>
  <si>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</si>
  <si>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</si>
  <si>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</si>
  <si>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</si>
  <si>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</si>
  <si>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</si>
  <si>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</si>
  <si>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</si>
  <si>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</si>
  <si>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</si>
  <si>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</si>
  <si>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</si>
  <si>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</si>
  <si>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</si>
  <si>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</si>
  <si>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</si>
  <si>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</si>
  <si>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</si>
  <si>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</si>
  <si>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</si>
  <si>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</si>
  <si>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</si>
  <si>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</si>
  <si>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</si>
  <si>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</si>
  <si>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</si>
  <si>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</si>
  <si>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</si>
  <si>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</si>
  <si>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</si>
  <si>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</si>
  <si>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</si>
  <si>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</si>
  <si>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</si>
  <si>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</si>
  <si>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</si>
  <si>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</si>
  <si>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</si>
  <si>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</si>
  <si>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</si>
  <si>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</si>
  <si>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</si>
  <si>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</si>
  <si>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</si>
  <si>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</si>
  <si>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</si>
  <si>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</si>
  <si>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</si>
  <si>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</si>
  <si>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</si>
  <si>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</si>
  <si>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</si>
  <si>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</si>
  <si>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</si>
  <si>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</si>
  <si>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</si>
  <si>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</si>
  <si>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</si>
  <si>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</si>
  <si>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</si>
  <si>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</si>
  <si>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</si>
  <si>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</si>
  <si>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</si>
  <si>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</si>
  <si>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</si>
  <si>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</si>
  <si>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</si>
  <si>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</si>
  <si>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</si>
  <si>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</si>
  <si>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</si>
  <si>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</si>
  <si>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</si>
  <si>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</si>
  <si>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</si>
  <si>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</si>
  <si>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</si>
  <si>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</si>
  <si>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</si>
  <si>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</si>
  <si>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</si>
  <si>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</si>
  <si>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</si>
  <si>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</si>
  <si>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</si>
  <si>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</si>
  <si>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</si>
  <si>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</si>
  <si>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</si>
  <si>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</si>
  <si>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</si>
  <si>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</si>
  <si>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</si>
  <si>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</si>
  <si>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</si>
  <si>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</si>
  <si>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</si>
  <si>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</si>
  <si>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</si>
  <si>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</si>
  <si>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</si>
  <si>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</si>
  <si>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</si>
  <si>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</si>
  <si>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</si>
  <si>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</si>
  <si>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</si>
  <si>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</si>
  <si>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</si>
  <si>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</si>
  <si>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</si>
  <si>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</si>
  <si>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</si>
  <si>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</si>
  <si>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</si>
  <si>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</si>
  <si>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</si>
  <si>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</si>
  <si>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</si>
  <si>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</si>
  <si>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</si>
  <si>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</si>
  <si>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</si>
  <si>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</si>
  <si>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</si>
  <si>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</si>
  <si>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</si>
  <si>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</si>
  <si>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</si>
  <si>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</si>
  <si>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</si>
  <si>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</si>
  <si>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</si>
  <si>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</si>
  <si>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</si>
  <si>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</si>
  <si>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</si>
  <si>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</si>
  <si>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</si>
  <si>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</si>
  <si>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</si>
  <si>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</si>
  <si>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</si>
  <si>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</si>
  <si>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</si>
  <si>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</si>
  <si>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</si>
  <si>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</si>
  <si>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</si>
  <si>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</si>
  <si>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</si>
  <si>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</si>
  <si>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</si>
  <si>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</si>
  <si>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</si>
  <si>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</si>
  <si>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</si>
  <si>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</si>
  <si>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</si>
  <si>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</si>
  <si>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</si>
  <si>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</si>
  <si>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</si>
  <si>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</si>
  <si>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</si>
  <si>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</si>
  <si>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</si>
  <si>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</si>
  <si>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</si>
  <si>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</si>
  <si>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</si>
  <si>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</si>
  <si>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</si>
  <si>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</si>
  <si>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</si>
  <si>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</si>
  <si>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</si>
  <si>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</si>
  <si>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</si>
  <si>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</si>
  <si>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</si>
  <si>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</si>
  <si>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</si>
  <si>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</si>
  <si>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</si>
  <si>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</si>
  <si>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</si>
  <si>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</si>
  <si>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</si>
  <si>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</si>
  <si>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</si>
  <si>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</si>
  <si>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</si>
  <si>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</si>
  <si>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</si>
  <si>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</si>
  <si>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</si>
  <si>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</si>
  <si>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</si>
  <si>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</si>
  <si>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</si>
  <si>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</si>
  <si>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</si>
  <si>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</si>
  <si>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</si>
  <si>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</si>
  <si>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</si>
  <si>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</si>
  <si>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</si>
  <si>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</si>
  <si>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</si>
  <si>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</si>
  <si>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</si>
  <si>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</si>
  <si>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</si>
  <si>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</si>
  <si>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</si>
  <si>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</si>
  <si>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</si>
  <si>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</si>
  <si>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</si>
  <si>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</si>
  <si>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</si>
  <si>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</si>
  <si>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</si>
  <si>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</si>
  <si>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</si>
  <si>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</si>
  <si>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</si>
  <si>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</si>
  <si>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</si>
  <si>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</si>
  <si>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</si>
  <si>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</si>
  <si>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</si>
  <si>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</si>
  <si>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</si>
  <si>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</si>
  <si>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</si>
  <si>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</si>
  <si>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</si>
  <si>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</si>
  <si>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</si>
  <si>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</si>
  <si>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</si>
  <si>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</si>
  <si>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</si>
  <si>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</si>
  <si>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</si>
  <si>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</si>
  <si>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</si>
  <si>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</si>
  <si>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</si>
  <si>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</si>
  <si>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</si>
  <si>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</si>
  <si>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</si>
  <si>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</si>
  <si>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</si>
  <si>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</si>
  <si>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</si>
  <si>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</si>
  <si>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</si>
  <si>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</si>
  <si>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</si>
  <si>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</si>
  <si>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</si>
  <si>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</si>
  <si>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</si>
  <si>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</si>
  <si>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</si>
  <si>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</si>
  <si>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</si>
  <si>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</si>
  <si>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</si>
  <si>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</si>
  <si>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</si>
  <si>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</si>
  <si>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</si>
  <si>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</si>
  <si>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</si>
  <si>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</si>
  <si>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</si>
  <si>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</si>
  <si>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</si>
  <si>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</si>
  <si>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</si>
  <si>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</si>
  <si>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</si>
  <si>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</si>
  <si>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</si>
  <si>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</si>
  <si>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</si>
  <si>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</si>
  <si>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</si>
  <si>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</si>
  <si>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</si>
  <si>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</si>
  <si>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</si>
  <si>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</si>
  <si>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</si>
  <si>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</si>
  <si>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</si>
  <si>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</si>
  <si>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</si>
  <si>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</si>
  <si>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</si>
  <si>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</si>
  <si>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</si>
  <si>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</si>
  <si>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</si>
  <si>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</si>
  <si>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</si>
  <si>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</si>
  <si>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</si>
  <si>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</si>
  <si>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</si>
  <si>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</si>
  <si>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</si>
  <si>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</si>
  <si>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</si>
  <si>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</si>
  <si>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</si>
  <si>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</si>
  <si>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</si>
  <si>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</si>
  <si>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</si>
  <si>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</si>
  <si>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</si>
  <si>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</si>
  <si>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</si>
  <si>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</si>
  <si>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</si>
  <si>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</si>
  <si>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</si>
  <si>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</si>
  <si>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</si>
  <si>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</si>
  <si>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</si>
  <si>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</si>
  <si>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</si>
  <si>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</si>
  <si>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</si>
  <si>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</si>
  <si>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</si>
  <si>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</si>
  <si>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</si>
  <si>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</si>
  <si>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</si>
  <si>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</si>
  <si>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</si>
  <si>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</si>
  <si>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</si>
  <si>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</si>
  <si>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</si>
  <si>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</si>
  <si>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</si>
  <si>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</si>
  <si>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</si>
  <si>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</si>
  <si>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</si>
  <si>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</si>
  <si>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</si>
  <si>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</si>
  <si>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</si>
  <si>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</si>
  <si>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</si>
  <si>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</si>
  <si>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</si>
  <si>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</si>
  <si>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</si>
  <si>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</si>
  <si>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</si>
  <si>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</si>
  <si>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</si>
  <si>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</si>
  <si>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</si>
  <si>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</si>
  <si>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</si>
  <si>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</si>
  <si>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</si>
  <si>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</si>
  <si>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</si>
  <si>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</si>
  <si>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</si>
  <si>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</si>
  <si>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</si>
  <si>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</si>
  <si>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</si>
  <si>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</si>
  <si>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</si>
  <si>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</si>
  <si>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</si>
  <si>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</si>
  <si>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</si>
  <si>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</si>
  <si>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</si>
  <si>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</si>
  <si>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</si>
  <si>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</si>
  <si>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</si>
  <si>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</si>
  <si>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</si>
  <si>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</si>
  <si>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</si>
  <si>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</si>
  <si>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</si>
  <si>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</si>
  <si>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</si>
  <si>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</si>
  <si>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</si>
  <si>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</si>
  <si>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</si>
  <si>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</si>
  <si>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</si>
  <si>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</si>
  <si>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</si>
  <si>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</si>
  <si>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</si>
  <si>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</si>
  <si>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</si>
  <si>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</si>
  <si>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</si>
  <si>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</si>
  <si>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</si>
  <si>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</si>
  <si>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</si>
  <si>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</si>
  <si>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</si>
  <si>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</si>
  <si>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</si>
  <si>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</si>
  <si>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</si>
  <si>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</si>
  <si>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</si>
  <si>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</si>
  <si>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</si>
  <si>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</si>
  <si>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</si>
  <si>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</si>
  <si>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</si>
  <si>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</si>
  <si>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</si>
  <si>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</si>
  <si>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</si>
  <si>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</si>
  <si>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</si>
  <si>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</si>
  <si>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</si>
  <si>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</si>
  <si>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</si>
  <si>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</si>
  <si>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</si>
  <si>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</si>
  <si>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</si>
  <si>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</si>
  <si>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</si>
  <si>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</si>
  <si>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</si>
  <si>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</si>
  <si>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</si>
  <si>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</si>
  <si>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</si>
  <si>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</si>
  <si>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</si>
  <si>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</si>
  <si>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</si>
  <si>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</si>
  <si>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</si>
  <si>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</si>
  <si>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</si>
  <si>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</si>
  <si>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</si>
  <si>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</si>
  <si>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</si>
  <si>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</si>
  <si>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</si>
  <si>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</si>
  <si>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</si>
  <si>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</si>
  <si>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</si>
  <si>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</si>
  <si>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</si>
  <si>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</si>
  <si>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</si>
  <si>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</si>
  <si>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</si>
  <si>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</si>
  <si>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</si>
  <si>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</si>
  <si>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</si>
  <si>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</si>
  <si>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</si>
  <si>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</si>
  <si>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</si>
  <si>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</si>
  <si>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</si>
  <si>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</si>
  <si>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</si>
  <si>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</si>
  <si>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</si>
  <si>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</si>
  <si>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</si>
  <si>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</si>
  <si>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</si>
  <si>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</si>
  <si>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</si>
  <si>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</si>
  <si>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</si>
  <si>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</si>
  <si>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</si>
  <si>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</si>
  <si>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</si>
  <si>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</si>
  <si>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</si>
  <si>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</si>
  <si>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</si>
  <si>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</si>
  <si>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</si>
  <si>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</si>
  <si>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</si>
  <si>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</si>
  <si>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</si>
  <si>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</si>
  <si>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</si>
  <si>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</si>
  <si>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</si>
  <si>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</si>
  <si>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</si>
  <si>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</si>
  <si>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</si>
  <si>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</si>
  <si>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</si>
  <si>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</si>
  <si>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</si>
  <si>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</si>
  <si>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</si>
  <si>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</si>
  <si>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</si>
  <si>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</si>
  <si>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</si>
  <si>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</si>
  <si>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</si>
  <si>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</si>
  <si>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</si>
  <si>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</si>
  <si>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</si>
  <si>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</si>
  <si>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</si>
  <si>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</si>
  <si>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</si>
  <si>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</si>
  <si>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</si>
  <si>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</si>
  <si>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</si>
  <si>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</si>
  <si>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</si>
  <si>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</si>
  <si>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</si>
  <si>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</si>
  <si>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</si>
  <si>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</si>
  <si>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</si>
  <si>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</si>
  <si>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</si>
  <si>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</si>
  <si>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</si>
  <si>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</si>
  <si>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</si>
  <si>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</si>
  <si>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</si>
  <si>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</si>
  <si>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</si>
  <si>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</si>
  <si>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</si>
  <si>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</si>
  <si>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</si>
  <si>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</si>
  <si>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</si>
  <si>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</si>
  <si>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</si>
  <si>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</si>
  <si>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</si>
  <si>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</si>
  <si>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</si>
  <si>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</si>
  <si>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</si>
  <si>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</si>
  <si>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</si>
  <si>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</si>
  <si>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</si>
  <si>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</si>
  <si>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</si>
  <si>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</si>
  <si>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</si>
  <si>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</si>
  <si>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</si>
  <si>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</si>
  <si>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</si>
  <si>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</si>
  <si>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</si>
  <si>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</si>
  <si>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</si>
  <si>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</si>
  <si>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</si>
  <si>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</si>
  <si>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</si>
  <si>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</si>
  <si>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</si>
  <si>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</si>
  <si>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</si>
  <si>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</si>
  <si>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</si>
  <si>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</si>
  <si>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</si>
  <si>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</si>
  <si>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</si>
  <si>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</si>
  <si>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</si>
  <si>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</si>
  <si>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</si>
  <si>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</si>
  <si>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</si>
  <si>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</si>
  <si>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</si>
  <si>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</si>
  <si>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</si>
  <si>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</si>
  <si>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</si>
  <si>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</si>
  <si>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</si>
  <si>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</si>
  <si>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</si>
  <si>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</si>
  <si>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</si>
  <si>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</si>
  <si>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</si>
  <si>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</si>
  <si>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</si>
  <si>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</si>
  <si>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</si>
  <si>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</si>
  <si>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</si>
  <si>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</si>
  <si>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</si>
  <si>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</si>
  <si>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</si>
  <si>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</si>
  <si>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</si>
  <si>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</si>
  <si>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</si>
  <si>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</si>
  <si>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</si>
  <si>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</si>
  <si>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</si>
  <si>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</si>
  <si>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</si>
  <si>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</si>
  <si>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</si>
  <si>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</si>
  <si>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</si>
  <si>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</si>
  <si>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</si>
  <si>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</si>
  <si>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</si>
  <si>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</si>
  <si>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</si>
  <si>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</si>
  <si>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</si>
  <si>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</si>
  <si>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</si>
  <si>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</si>
  <si>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</si>
  <si>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</si>
  <si>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</si>
  <si>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</si>
  <si>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</si>
  <si>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</si>
  <si>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</si>
  <si>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</si>
  <si>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</si>
  <si>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</si>
  <si>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</si>
  <si>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</si>
  <si>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</si>
  <si>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</si>
  <si>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</si>
  <si>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</si>
  <si>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</si>
  <si>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</si>
  <si>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</si>
  <si>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</si>
  <si>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</si>
  <si>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</si>
  <si>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</si>
  <si>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</si>
  <si>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</si>
  <si>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</si>
  <si>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</si>
  <si>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</si>
  <si>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</si>
  <si>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</si>
  <si>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</si>
  <si>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</si>
  <si>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</si>
  <si>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</si>
  <si>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</si>
  <si>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</si>
  <si>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</si>
  <si>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</si>
  <si>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</si>
  <si>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</si>
  <si>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</si>
  <si>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</si>
  <si>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</si>
  <si>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</si>
  <si>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</si>
  <si>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</si>
  <si>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</si>
  <si>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</si>
  <si>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</si>
  <si>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</si>
  <si>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</si>
  <si>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</si>
  <si>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</si>
  <si>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</si>
  <si>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</si>
  <si>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</si>
  <si>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</si>
  <si>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</si>
  <si>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</si>
  <si>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</si>
  <si>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</si>
  <si>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</si>
  <si>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</si>
  <si>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</si>
  <si>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</si>
  <si>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</si>
  <si>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</si>
  <si>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</si>
  <si>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</si>
  <si>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</si>
  <si>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</si>
  <si>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</si>
  <si>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</si>
  <si>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</si>
  <si>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</si>
  <si>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</si>
  <si>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</si>
  <si>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</si>
  <si>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</si>
  <si>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</si>
  <si>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</si>
  <si>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</si>
  <si>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</si>
  <si>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</si>
  <si>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</si>
  <si>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</si>
  <si>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</si>
  <si>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</si>
  <si>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</si>
  <si>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</si>
  <si>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</si>
  <si>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</si>
  <si>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</si>
  <si>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</si>
  <si>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</si>
  <si>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</si>
  <si>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</si>
  <si>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</si>
  <si>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</si>
  <si>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</si>
  <si>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</si>
  <si>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</si>
  <si>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</si>
  <si>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</si>
  <si>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</si>
  <si>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</si>
  <si>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</si>
  <si>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</si>
  <si>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</si>
  <si>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</si>
  <si>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</si>
  <si>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</si>
  <si>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</si>
  <si>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</si>
  <si>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</si>
  <si>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</si>
  <si>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</si>
  <si>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</si>
  <si>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</si>
  <si>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</si>
  <si>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</si>
  <si>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</si>
  <si>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</si>
  <si>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</si>
  <si>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</si>
  <si>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</si>
  <si>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</si>
  <si>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</si>
  <si>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</si>
  <si>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</si>
  <si>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</si>
  <si>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</si>
  <si>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</si>
  <si>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</si>
  <si>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</si>
  <si>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</si>
  <si>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</si>
  <si>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</si>
  <si>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</si>
  <si>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</si>
  <si>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</si>
  <si>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</si>
  <si>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</si>
  <si>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</si>
  <si>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</si>
  <si>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</si>
  <si>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</si>
  <si>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</si>
  <si>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</si>
  <si>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</si>
  <si>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</si>
  <si>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</si>
  <si>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</si>
  <si>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</si>
  <si>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</si>
  <si>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</si>
  <si>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</si>
  <si>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</si>
  <si>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</si>
  <si>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</si>
  <si>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</si>
  <si>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</si>
  <si>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</si>
  <si>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</si>
  <si>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</si>
  <si>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</si>
  <si>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</si>
  <si>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</si>
  <si>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</si>
  <si>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</si>
  <si>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</si>
  <si>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</si>
  <si>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</si>
  <si>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</si>
  <si>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</si>
  <si>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</si>
  <si>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</si>
  <si>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</si>
  <si>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</si>
  <si>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</si>
  <si>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</si>
  <si>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</si>
  <si>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</si>
  <si>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</si>
  <si>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</si>
  <si>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</si>
  <si>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</si>
  <si>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</si>
  <si>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</si>
  <si>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</si>
  <si>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</si>
  <si>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</si>
  <si>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</si>
  <si>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</si>
  <si>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</si>
  <si>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</si>
  <si>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</si>
  <si>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</si>
  <si>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</si>
  <si>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</si>
  <si>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</si>
  <si>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</si>
  <si>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</si>
  <si>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</si>
  <si>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</si>
  <si>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</si>
  <si>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</si>
  <si>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</si>
  <si>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</si>
  <si>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</si>
  <si>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</si>
  <si>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</si>
  <si>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</si>
  <si>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</si>
  <si>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</si>
  <si>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</si>
  <si>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</si>
  <si>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</si>
  <si>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</si>
  <si>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</si>
  <si>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</si>
  <si>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</si>
  <si>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</si>
  <si>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</si>
  <si>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</si>
  <si>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</si>
  <si>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</si>
  <si>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</si>
  <si>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</si>
  <si>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</si>
  <si>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</si>
  <si>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</si>
  <si>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</si>
  <si>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</si>
  <si>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</si>
  <si>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</si>
  <si>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</si>
  <si>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</si>
  <si>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</si>
  <si>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</si>
  <si>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</si>
  <si>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</si>
  <si>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</si>
  <si>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</si>
  <si>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</si>
  <si>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</si>
  <si>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</si>
  <si>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</si>
  <si>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</si>
  <si>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</si>
  <si>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</si>
  <si>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</si>
  <si>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</si>
  <si>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</si>
  <si>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</si>
  <si>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</si>
  <si>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</si>
  <si>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</si>
  <si>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</si>
  <si>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</si>
  <si>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</si>
  <si>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</si>
  <si>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</si>
  <si>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</si>
  <si>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</si>
  <si>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</si>
  <si>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</si>
  <si>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</si>
  <si>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</si>
  <si>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</si>
  <si>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</si>
  <si>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</si>
  <si>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</si>
  <si>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</si>
  <si>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</si>
  <si>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</si>
  <si>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</si>
  <si>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</si>
  <si>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</si>
  <si>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</si>
  <si>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</si>
  <si>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</si>
  <si>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</si>
  <si>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</si>
  <si>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</si>
  <si>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</si>
  <si>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</si>
  <si>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</si>
  <si>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</si>
  <si>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</si>
  <si>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</si>
  <si>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</si>
  <si>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</si>
  <si>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</si>
  <si>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</si>
  <si>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</si>
  <si>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</si>
  <si>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</si>
  <si>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</si>
  <si>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</si>
  <si>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</si>
  <si>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</si>
  <si>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</si>
  <si>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</si>
  <si>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</si>
  <si>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</si>
  <si>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</si>
  <si>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</si>
  <si>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</si>
  <si>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</si>
  <si>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</si>
  <si>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</si>
  <si>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</si>
  <si>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</si>
  <si>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</si>
  <si>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</si>
  <si>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</si>
  <si>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</si>
  <si>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</si>
  <si>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</si>
  <si>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</si>
  <si>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</si>
  <si>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</si>
  <si>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</si>
  <si>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</si>
  <si>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</si>
  <si>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</si>
  <si>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</si>
  <si>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</si>
  <si>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</si>
  <si>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</si>
  <si>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</si>
  <si>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</si>
  <si>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</si>
  <si>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</si>
  <si>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</si>
  <si>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</si>
  <si>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</si>
  <si>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</si>
  <si>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</si>
  <si>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</si>
  <si>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</si>
  <si>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</si>
  <si>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</si>
  <si>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</si>
  <si>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</si>
  <si>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</si>
  <si>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</si>
  <si>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</si>
  <si>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</si>
  <si>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</si>
  <si>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</si>
  <si>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</si>
  <si>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</si>
  <si>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</si>
  <si>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</si>
  <si>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</si>
  <si>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</si>
  <si>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</si>
  <si>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</si>
  <si>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</si>
  <si>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</si>
  <si>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</si>
  <si>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</si>
  <si>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</si>
  <si>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</si>
  <si>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</si>
  <si>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</si>
  <si>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</si>
  <si>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</si>
  <si>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</si>
  <si>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</si>
  <si>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</si>
  <si>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</si>
  <si>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</si>
  <si>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</si>
  <si>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</si>
  <si>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</si>
  <si>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</si>
  <si>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</si>
  <si>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</si>
  <si>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</si>
  <si>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</si>
  <si>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</si>
  <si>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</si>
  <si>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</si>
  <si>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</si>
  <si>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</si>
  <si>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</si>
  <si>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</si>
  <si>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</si>
  <si>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</si>
  <si>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</si>
  <si>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</si>
  <si>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</si>
  <si>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</si>
  <si>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</si>
  <si>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</si>
  <si>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</si>
  <si>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</si>
  <si>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</si>
  <si>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</si>
  <si>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</si>
  <si>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</si>
  <si>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</si>
  <si>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</si>
  <si>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</si>
  <si>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</si>
  <si>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</si>
  <si>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</si>
  <si>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</si>
  <si>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</si>
  <si>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</si>
  <si>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</si>
  <si>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</si>
  <si>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</si>
  <si>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</si>
  <si>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</si>
  <si>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</si>
  <si>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</si>
  <si>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</si>
  <si>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</si>
  <si>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</si>
  <si>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</si>
  <si>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</si>
  <si>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</si>
  <si>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</si>
  <si>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</si>
  <si>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</si>
  <si>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</si>
  <si>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</si>
  <si>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</si>
  <si>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</si>
  <si>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</si>
  <si>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</si>
  <si>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</si>
  <si>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</si>
  <si>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</si>
  <si>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</si>
  <si>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</si>
  <si>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</si>
  <si>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</si>
  <si>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</si>
  <si>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</si>
  <si>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</si>
  <si>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</si>
  <si>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</si>
  <si>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</si>
  <si>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</si>
  <si>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</si>
  <si>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</si>
  <si>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</si>
  <si>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</si>
  <si>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</si>
  <si>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</si>
  <si>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</si>
  <si>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</si>
  <si>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</si>
  <si>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</si>
  <si>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</si>
  <si>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</si>
  <si>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</si>
  <si>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</si>
  <si>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</si>
  <si>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</si>
  <si>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</si>
  <si>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</si>
  <si>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</si>
  <si>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</si>
  <si>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</si>
  <si>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</si>
  <si>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</si>
  <si>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</si>
  <si>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</si>
  <si>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</si>
  <si>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</si>
  <si>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</si>
  <si>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</si>
  <si>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</si>
  <si>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</si>
  <si>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</si>
  <si>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</si>
  <si>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</si>
  <si>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</si>
  <si>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</si>
  <si>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</si>
  <si>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</si>
  <si>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</si>
  <si>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</si>
  <si>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</si>
  <si>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</si>
  <si>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</si>
  <si>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</si>
  <si>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</si>
  <si>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</si>
  <si>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</si>
  <si>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</si>
  <si>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</si>
  <si>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</si>
  <si>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</si>
  <si>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</si>
  <si>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</si>
  <si>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</si>
  <si>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</si>
  <si>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</si>
  <si>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</si>
  <si>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</si>
  <si>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</si>
  <si>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</si>
  <si>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</si>
  <si>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</si>
  <si>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</si>
  <si>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</si>
  <si>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</si>
  <si>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</si>
  <si>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</si>
  <si>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</si>
  <si>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</si>
  <si>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</si>
  <si>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</si>
  <si>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</si>
  <si>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</si>
  <si>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</si>
  <si>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</si>
  <si>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</si>
  <si>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</si>
  <si>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</si>
  <si>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</si>
  <si>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</si>
  <si>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</si>
  <si>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</si>
  <si>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</si>
  <si>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</si>
  <si>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</si>
  <si>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</si>
  <si>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</si>
  <si>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</si>
  <si>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</si>
  <si>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</si>
  <si>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</si>
  <si>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</si>
  <si>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</si>
  <si>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</si>
  <si>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</si>
  <si>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</si>
  <si>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</si>
  <si>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</si>
  <si>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</si>
  <si>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</si>
  <si>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</si>
  <si>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</si>
  <si>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</si>
  <si>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</si>
  <si>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</si>
  <si>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</si>
  <si>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</si>
  <si>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</si>
  <si>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</si>
  <si>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</si>
  <si>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</si>
  <si>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</si>
  <si>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</si>
  <si>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</si>
  <si>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</si>
  <si>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</si>
  <si>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</si>
  <si>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</si>
  <si>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</si>
  <si>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</si>
  <si>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</si>
  <si>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</si>
  <si>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</si>
  <si>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</si>
  <si>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</si>
  <si>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</si>
  <si>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</si>
  <si>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</si>
  <si>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</si>
  <si>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</si>
  <si>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</si>
  <si>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</si>
  <si>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</si>
  <si>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</si>
  <si>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</si>
  <si>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</si>
  <si>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</si>
  <si>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</si>
  <si>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</si>
  <si>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</si>
  <si>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</si>
  <si>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</si>
  <si>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</si>
  <si>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</si>
  <si>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</si>
  <si>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</si>
  <si>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</si>
  <si>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</si>
  <si>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</si>
  <si>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</si>
  <si>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</si>
  <si>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</si>
  <si>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</si>
  <si>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</si>
  <si>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</si>
  <si>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</si>
  <si>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</si>
  <si>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</si>
  <si>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</si>
  <si>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</si>
  <si>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</si>
  <si>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</si>
  <si>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</si>
  <si>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</si>
  <si>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</si>
  <si>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</si>
  <si>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</si>
  <si>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</si>
  <si>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</si>
  <si>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</si>
  <si>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</si>
  <si>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</si>
  <si>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</si>
  <si>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</si>
  <si>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</si>
  <si>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</si>
  <si>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</si>
  <si>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</si>
  <si>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</si>
  <si>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</si>
  <si>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</si>
  <si>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</si>
  <si>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</si>
  <si>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</si>
  <si>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</si>
  <si>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</si>
  <si>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</si>
  <si>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</si>
  <si>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</si>
  <si>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</si>
  <si>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</si>
  <si>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</si>
  <si>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</si>
  <si>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</si>
  <si>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</si>
  <si>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</si>
  <si>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</si>
  <si>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</si>
  <si>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</si>
  <si>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</si>
  <si>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</si>
  <si>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</si>
  <si>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</si>
  <si>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</si>
  <si>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</si>
  <si>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</si>
  <si>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</si>
  <si>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</si>
  <si>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</si>
  <si>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</si>
  <si>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</si>
  <si>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</si>
  <si>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</si>
  <si>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</si>
  <si>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</si>
  <si>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</si>
  <si>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</si>
  <si>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</si>
  <si>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</si>
  <si>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</si>
  <si>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</si>
  <si>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</si>
  <si>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</si>
  <si>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</si>
  <si>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</si>
  <si>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</si>
  <si>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</si>
  <si>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</si>
  <si>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</si>
  <si>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</si>
  <si>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</si>
  <si>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</si>
  <si>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</si>
  <si>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</si>
  <si>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</si>
  <si>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</si>
  <si>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</si>
  <si>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</si>
  <si>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</si>
  <si>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</si>
  <si>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</si>
  <si>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</si>
  <si>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</si>
  <si>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</si>
  <si>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</si>
  <si>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</si>
  <si>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</si>
  <si>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</si>
  <si>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</si>
  <si>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</si>
  <si>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</si>
  <si>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</si>
  <si>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</si>
  <si>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</si>
  <si>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</si>
  <si>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</si>
  <si>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</si>
  <si>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</si>
  <si>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</si>
  <si>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</si>
  <si>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</si>
  <si>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</si>
  <si>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</si>
  <si>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</si>
  <si>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</si>
  <si>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</si>
  <si>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</si>
  <si>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</si>
  <si>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</si>
  <si>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</si>
  <si>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</si>
  <si>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</si>
  <si>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</si>
  <si>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</si>
  <si>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</si>
  <si>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</si>
  <si>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</si>
  <si>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</si>
  <si>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</si>
  <si>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</si>
  <si>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</si>
  <si>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</si>
  <si>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</si>
  <si>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</si>
  <si>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</si>
  <si>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</si>
  <si>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</si>
  <si>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</si>
  <si>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</si>
  <si>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</si>
  <si>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</si>
  <si>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</si>
  <si>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</si>
  <si>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</si>
  <si>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</si>
  <si>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</si>
  <si>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</si>
  <si>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</si>
  <si>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</si>
  <si>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</si>
  <si>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</si>
  <si>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</si>
  <si>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</si>
  <si>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</si>
  <si>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</si>
  <si>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</si>
  <si>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</si>
  <si>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</si>
  <si>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</si>
  <si>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</si>
  <si>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</si>
  <si>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</si>
  <si>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</si>
  <si>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</si>
  <si>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</si>
  <si>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</si>
  <si>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</si>
  <si>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</si>
  <si>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</si>
  <si>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</si>
  <si>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</si>
  <si>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</si>
  <si>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</si>
  <si>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</si>
  <si>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</si>
  <si>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</si>
  <si>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</si>
  <si>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</si>
  <si>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</si>
  <si>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</si>
  <si>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</si>
  <si>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</si>
  <si>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</si>
  <si>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</si>
  <si>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</si>
  <si>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</si>
  <si>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</si>
  <si>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</si>
  <si>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</si>
  <si>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</si>
  <si>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</si>
  <si>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</si>
  <si>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</si>
  <si>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</si>
  <si>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</si>
  <si>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</si>
  <si>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</si>
  <si>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</si>
  <si>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</si>
  <si>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</si>
  <si>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</si>
  <si>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</si>
  <si>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</si>
  <si>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</si>
  <si>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</si>
  <si>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</si>
  <si>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</si>
  <si>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</si>
  <si>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</si>
  <si>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</si>
  <si>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</si>
  <si>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</si>
  <si>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</si>
  <si>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</si>
  <si>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</si>
  <si>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</si>
  <si>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</si>
  <si>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</si>
  <si>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</si>
  <si>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</si>
  <si>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</si>
  <si>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</si>
  <si>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</si>
  <si>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</si>
  <si>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</si>
  <si>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</si>
  <si>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</si>
  <si>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</si>
  <si>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</si>
  <si>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</si>
  <si>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</si>
  <si>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</si>
  <si>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</si>
  <si>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</si>
  <si>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</si>
  <si>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</si>
  <si>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</si>
  <si>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</si>
  <si>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</si>
  <si>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</si>
  <si>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</si>
  <si>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</si>
  <si>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</si>
  <si>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</si>
  <si>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</si>
  <si>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</si>
  <si>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</si>
  <si>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</si>
  <si>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</si>
  <si>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</si>
  <si>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</si>
  <si>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</si>
  <si>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</si>
  <si>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</si>
  <si>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</si>
  <si>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</si>
  <si>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</si>
  <si>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</si>
  <si>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</si>
  <si>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</si>
  <si>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</si>
  <si>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</si>
  <si>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</si>
  <si>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</si>
  <si>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</si>
  <si>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</si>
  <si>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</si>
  <si>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</si>
  <si>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</si>
  <si>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</si>
  <si>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</si>
  <si>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</si>
  <si>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</si>
  <si>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</si>
  <si>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</si>
  <si>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</si>
  <si>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</si>
  <si>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</si>
  <si>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</si>
  <si>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</si>
  <si>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</si>
  <si>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</si>
  <si>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</si>
  <si>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</si>
  <si>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</si>
  <si>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</si>
  <si>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</si>
  <si>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</si>
  <si>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</si>
  <si>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</si>
  <si>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</si>
  <si>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</si>
  <si>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</si>
  <si>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</si>
  <si>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</si>
  <si>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</si>
  <si>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</si>
  <si>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</si>
  <si>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</si>
  <si>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</si>
  <si>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</si>
  <si>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</si>
  <si>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</si>
  <si>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</si>
  <si>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</si>
  <si>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</si>
  <si>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</si>
  <si>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</si>
  <si>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</si>
  <si>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</si>
  <si>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</si>
  <si>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</si>
  <si>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</si>
  <si>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</si>
  <si>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</si>
  <si>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</si>
  <si>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</si>
  <si>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</si>
  <si>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</si>
  <si>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</si>
  <si>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</si>
  <si>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</si>
  <si>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</si>
  <si>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</si>
  <si>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</si>
  <si>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</si>
  <si>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</si>
  <si>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</si>
  <si>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</si>
  <si>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</si>
  <si>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</si>
  <si>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</si>
  <si>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</si>
  <si>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</si>
  <si>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</si>
  <si>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</si>
  <si>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</si>
  <si>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</si>
  <si>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</si>
  <si>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</si>
  <si>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</si>
  <si>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</si>
  <si>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</si>
  <si>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</si>
  <si>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</si>
  <si>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</si>
  <si>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</si>
  <si>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</si>
  <si>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</si>
  <si>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</si>
  <si>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</si>
  <si>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</si>
  <si>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</si>
  <si>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</si>
  <si>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</si>
  <si>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</si>
  <si>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</si>
  <si>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</si>
  <si>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</si>
  <si>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</si>
  <si>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</si>
  <si>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</si>
  <si>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</si>
  <si>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</si>
  <si>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</si>
  <si>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</si>
  <si>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</si>
  <si>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</si>
  <si>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</si>
  <si>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</si>
  <si>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</si>
  <si>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</si>
  <si>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</si>
  <si>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</si>
  <si>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</si>
  <si>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</si>
  <si>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</si>
  <si>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</si>
  <si>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</si>
  <si>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</si>
  <si>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</si>
  <si>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</si>
  <si>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</si>
  <si>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</si>
  <si>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</si>
  <si>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</si>
  <si>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</si>
  <si>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</si>
  <si>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</si>
  <si>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</si>
  <si>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</si>
  <si>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</si>
  <si>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</si>
  <si>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</si>
  <si>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</si>
  <si>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</si>
  <si>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</si>
  <si>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</si>
  <si>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</si>
  <si>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</si>
  <si>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</si>
  <si>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</si>
  <si>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</si>
  <si>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</si>
  <si>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</si>
  <si>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</si>
  <si>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</si>
  <si>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</si>
  <si>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</si>
  <si>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</si>
  <si>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</si>
  <si>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</si>
  <si>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</si>
  <si>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</si>
  <si>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</si>
  <si>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</si>
  <si>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</si>
  <si>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</si>
  <si>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</si>
  <si>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</si>
  <si>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</si>
  <si>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</si>
  <si>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</si>
  <si>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</si>
  <si>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</si>
  <si>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</si>
  <si>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</si>
  <si>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</si>
  <si>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</si>
  <si>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</si>
  <si>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</si>
  <si>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</si>
  <si>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</si>
  <si>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</si>
  <si>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</si>
  <si>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</si>
  <si>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</si>
  <si>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</si>
  <si>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</si>
  <si>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</si>
  <si>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</si>
  <si>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</si>
  <si>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</si>
  <si>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</si>
  <si>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</si>
  <si>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</si>
  <si>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</si>
  <si>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</si>
  <si>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</si>
  <si>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</si>
  <si>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</si>
  <si>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</si>
  <si>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</si>
  <si>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</si>
  <si>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</si>
  <si>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</si>
  <si>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</si>
  <si>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</si>
  <si>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</si>
  <si>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</si>
  <si>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</si>
  <si>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</si>
  <si>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</si>
  <si>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</si>
  <si>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</si>
  <si>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</si>
  <si>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</si>
  <si>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</si>
  <si>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</si>
  <si>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</si>
  <si>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</si>
  <si>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</si>
  <si>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</si>
  <si>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</si>
  <si>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</si>
  <si>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</si>
  <si>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</si>
  <si>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</si>
  <si>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</si>
  <si>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</si>
  <si>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</si>
  <si>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</si>
  <si>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</si>
  <si>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</si>
  <si>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</si>
  <si>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</si>
  <si>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</si>
  <si>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</si>
  <si>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</si>
  <si>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</si>
  <si>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</si>
  <si>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</si>
  <si>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</si>
  <si>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</si>
  <si>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</si>
  <si>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</si>
  <si>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</si>
  <si>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</si>
  <si>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</si>
  <si>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</si>
  <si>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</si>
  <si>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</si>
  <si>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</si>
  <si>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</si>
  <si>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</si>
  <si>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</si>
  <si>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</si>
  <si>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</si>
  <si>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</si>
  <si>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</si>
  <si>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</si>
  <si>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</si>
  <si>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</si>
  <si>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</si>
  <si>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</si>
  <si>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</si>
  <si>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</si>
  <si>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</si>
  <si>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</si>
  <si>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</si>
  <si>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</si>
  <si>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</si>
  <si>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</si>
  <si>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</si>
  <si>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</si>
  <si>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</si>
  <si>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</si>
  <si>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</si>
  <si>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</si>
  <si>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</si>
  <si>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</si>
  <si>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</si>
  <si>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</si>
  <si>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</si>
  <si>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</si>
  <si>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</si>
  <si>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</si>
  <si>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</si>
  <si>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</si>
  <si>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</si>
  <si>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</si>
  <si>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</si>
  <si>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</si>
  <si>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</si>
  <si>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</si>
  <si>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</si>
  <si>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</si>
  <si>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</si>
  <si>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</si>
  <si>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</si>
  <si>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</si>
  <si>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</si>
  <si>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</si>
  <si>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</si>
  <si>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</si>
  <si>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</si>
  <si>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</si>
  <si>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</si>
  <si>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</si>
  <si>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</si>
  <si>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</si>
  <si>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</si>
  <si>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</si>
  <si>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</si>
  <si>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</si>
  <si>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</si>
  <si>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</si>
  <si>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</si>
  <si>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</si>
  <si>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</si>
  <si>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</si>
  <si>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</si>
  <si>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</si>
  <si>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</si>
  <si>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</si>
  <si>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</si>
  <si>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</si>
  <si>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</si>
  <si>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</si>
  <si>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</si>
  <si>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</si>
  <si>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</si>
  <si>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</si>
  <si>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</si>
  <si>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</si>
  <si>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</si>
  <si>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</si>
  <si>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</si>
  <si>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</si>
  <si>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</si>
  <si>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</si>
  <si>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</si>
  <si>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</si>
  <si>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</si>
  <si>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</si>
  <si>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</si>
  <si>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</si>
  <si>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</si>
  <si>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</si>
  <si>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</si>
  <si>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</si>
  <si>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</si>
  <si>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</si>
  <si>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</si>
  <si>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</si>
  <si>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</si>
  <si>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</si>
  <si>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</si>
  <si>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</si>
  <si>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</si>
  <si>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</si>
  <si>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</si>
  <si>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</si>
  <si>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</si>
  <si>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</si>
  <si>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</si>
  <si>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</si>
  <si>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</si>
  <si>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</si>
  <si>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</si>
  <si>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</si>
  <si>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</si>
  <si>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</si>
  <si>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</si>
  <si>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</si>
  <si>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</si>
  <si>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</si>
  <si>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</si>
  <si>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</si>
  <si>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</si>
  <si>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</si>
  <si>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</si>
  <si>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</si>
  <si>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</si>
  <si>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</si>
  <si>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</si>
  <si>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</si>
  <si>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</si>
  <si>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</si>
  <si>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</si>
  <si>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</si>
  <si>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</si>
  <si>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</si>
  <si>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</si>
  <si>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</si>
  <si>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</si>
  <si>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</si>
  <si>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</si>
  <si>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</si>
  <si>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</si>
  <si>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</si>
  <si>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</si>
  <si>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</si>
  <si>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</si>
  <si>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</si>
  <si>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</si>
  <si>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</si>
  <si>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</si>
  <si>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</si>
  <si>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</si>
  <si>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</si>
  <si>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</si>
  <si>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</si>
  <si>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</si>
  <si>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</si>
  <si>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</si>
  <si>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</si>
  <si>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</si>
  <si>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</si>
  <si>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</si>
  <si>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</si>
  <si>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</si>
  <si>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</si>
  <si>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</si>
  <si>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</si>
  <si>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</si>
  <si>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</si>
  <si>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</si>
  <si>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</si>
  <si>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</si>
  <si>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</si>
  <si>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</si>
  <si>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</si>
  <si>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</si>
  <si>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</si>
  <si>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</si>
  <si>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</si>
  <si>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</si>
  <si>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</si>
  <si>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</si>
  <si>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</si>
  <si>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</si>
  <si>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</si>
  <si>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</si>
  <si>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</si>
  <si>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</si>
  <si>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</si>
  <si>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</si>
  <si>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</si>
  <si>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</si>
  <si>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</si>
  <si>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</si>
  <si>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</si>
  <si>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</si>
  <si>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</si>
  <si>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</si>
  <si>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</si>
  <si>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</si>
  <si>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</si>
  <si>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</si>
  <si>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</si>
  <si>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</si>
  <si>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</si>
  <si>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</si>
  <si>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</si>
  <si>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</si>
  <si>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</si>
  <si>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</si>
  <si>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</si>
  <si>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</si>
  <si>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</si>
  <si>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</si>
  <si>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</si>
  <si>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</si>
  <si>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</si>
  <si>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</si>
  <si>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</si>
  <si>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</si>
  <si>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</si>
  <si>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</si>
  <si>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</si>
  <si>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</si>
  <si>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</si>
  <si>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</si>
  <si>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</si>
  <si>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</si>
  <si>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</si>
  <si>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</si>
  <si>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</si>
  <si>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</si>
  <si>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</si>
  <si>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</si>
  <si>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</si>
  <si>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</si>
  <si>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</si>
  <si>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</si>
  <si>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</si>
  <si>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</si>
  <si>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</si>
  <si>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</si>
  <si>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</si>
  <si>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</si>
  <si>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</si>
  <si>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</si>
  <si>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</si>
  <si>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</si>
  <si>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</si>
  <si>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</si>
  <si>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</si>
  <si>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</si>
  <si>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</si>
  <si>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</si>
  <si>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</si>
  <si>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</si>
  <si>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</si>
  <si>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</si>
  <si>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</si>
  <si>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</si>
  <si>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</si>
  <si>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</si>
  <si>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</si>
  <si>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</si>
  <si>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</si>
  <si>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</si>
  <si>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</si>
  <si>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</si>
  <si>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</si>
  <si>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</si>
  <si>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</si>
  <si>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</si>
  <si>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</si>
  <si>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</si>
  <si>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</si>
  <si>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</si>
  <si>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</si>
  <si>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</si>
  <si>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</si>
  <si>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</si>
  <si>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</si>
  <si>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</si>
  <si>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</si>
  <si>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</si>
  <si>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</si>
  <si>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</si>
  <si>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</si>
  <si>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</si>
  <si>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</si>
  <si>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</si>
  <si>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</si>
  <si>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</si>
  <si>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</si>
  <si>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</si>
  <si>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</si>
  <si>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</si>
  <si>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</si>
  <si>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</si>
  <si>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</si>
  <si>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</si>
  <si>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</si>
  <si>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</si>
  <si>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</si>
  <si>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</si>
  <si>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</si>
  <si>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</si>
  <si>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</si>
  <si>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</si>
  <si>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</si>
  <si>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</si>
  <si>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</si>
  <si>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</si>
  <si>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</si>
  <si>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</si>
  <si>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</si>
  <si>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</si>
  <si>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</si>
  <si>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</si>
  <si>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</si>
  <si>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</si>
  <si>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</si>
  <si>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</si>
  <si>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</si>
  <si>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</si>
  <si>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</si>
  <si>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</si>
  <si>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</si>
  <si>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</si>
  <si>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</si>
  <si>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</si>
  <si>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</si>
  <si>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</si>
  <si>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</si>
  <si>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</si>
  <si>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</si>
  <si>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</si>
  <si>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</si>
  <si>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</si>
  <si>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</si>
  <si>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</si>
  <si>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</si>
  <si>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</si>
  <si>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</si>
  <si>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</si>
  <si>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</si>
  <si>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</si>
  <si>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</si>
  <si>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</si>
  <si>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</si>
  <si>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</si>
  <si>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</si>
  <si>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</si>
  <si>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</si>
  <si>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</si>
  <si>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</si>
  <si>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</si>
  <si>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</si>
  <si>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</si>
  <si>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</si>
  <si>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</si>
  <si>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</si>
  <si>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</si>
  <si>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</si>
  <si>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</si>
  <si>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</si>
  <si>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</si>
  <si>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</si>
  <si>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</si>
  <si>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</si>
  <si>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</si>
  <si>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</si>
  <si>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</si>
  <si>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</si>
  <si>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</si>
  <si>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</si>
  <si>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</si>
  <si>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</si>
  <si>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</si>
  <si>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</si>
  <si>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</si>
  <si>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</si>
  <si>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</si>
  <si>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</si>
  <si>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</si>
  <si>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</si>
  <si>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</si>
  <si>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</si>
  <si>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</si>
  <si>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</si>
  <si>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</si>
  <si>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</si>
  <si>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</si>
  <si>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</si>
  <si>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</si>
  <si>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</si>
  <si>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</si>
  <si>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</si>
  <si>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</si>
  <si>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</si>
  <si>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</si>
  <si>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</si>
  <si>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</si>
  <si>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</si>
  <si>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</si>
  <si>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</si>
  <si>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</si>
  <si>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</si>
  <si>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</si>
  <si>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</si>
  <si>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</si>
  <si>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</si>
  <si>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</si>
  <si>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</si>
  <si>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</si>
  <si>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</si>
  <si>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</si>
  <si>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</si>
  <si>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</si>
  <si>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</si>
  <si>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</si>
  <si>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</si>
  <si>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</si>
  <si>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</si>
  <si>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</si>
  <si>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</si>
  <si>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</si>
  <si>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</si>
  <si>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</si>
  <si>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</si>
  <si>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</si>
  <si>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</si>
  <si>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</si>
  <si>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</si>
  <si>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</si>
  <si>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</si>
  <si>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</si>
  <si>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</si>
  <si>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</si>
  <si>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</si>
  <si>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</si>
  <si>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</si>
  <si>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</si>
  <si>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</si>
  <si>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</si>
  <si>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</si>
  <si>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</si>
  <si>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</si>
  <si>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</si>
  <si>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</si>
  <si>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</si>
  <si>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</si>
  <si>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</si>
  <si>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</si>
  <si>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</si>
  <si>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</si>
  <si>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</si>
  <si>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</si>
  <si>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</si>
  <si>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</si>
  <si>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</si>
  <si>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</si>
  <si>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</si>
  <si>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</si>
  <si>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</si>
  <si>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</si>
  <si>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</si>
  <si>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</si>
  <si>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</si>
  <si>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</si>
  <si>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</si>
  <si>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</si>
  <si>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</si>
  <si>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</si>
  <si>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</si>
  <si>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</si>
  <si>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</si>
  <si>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</si>
  <si>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</si>
  <si>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</si>
  <si>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</si>
  <si>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</si>
  <si>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</si>
  <si>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</si>
  <si>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</si>
  <si>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</si>
  <si>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</si>
  <si>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</si>
  <si>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</si>
  <si>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</si>
  <si>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</si>
  <si>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</si>
  <si>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</si>
  <si>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</si>
  <si>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</si>
  <si>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</si>
  <si>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</si>
  <si>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</si>
  <si>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</si>
  <si>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</si>
  <si>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</si>
  <si>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</si>
  <si>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</si>
  <si>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</si>
  <si>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</si>
  <si>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</si>
  <si>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</si>
  <si>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</si>
  <si>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</si>
  <si>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</si>
  <si>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</si>
  <si>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</si>
  <si>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</si>
  <si>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</si>
  <si>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</si>
  <si>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</si>
  <si>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</si>
  <si>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</si>
  <si>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</si>
  <si>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</si>
  <si>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</si>
  <si>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</si>
  <si>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</si>
  <si>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</si>
  <si>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</si>
  <si>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</si>
  <si>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</si>
  <si>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</si>
  <si>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</si>
  <si>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</si>
  <si>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</si>
  <si>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</si>
  <si>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</si>
  <si>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</si>
  <si>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</si>
  <si>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</si>
  <si>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</si>
  <si>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</si>
  <si>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</si>
  <si>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</si>
  <si>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</si>
  <si>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</si>
  <si>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</si>
  <si>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</si>
  <si>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</si>
  <si>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</si>
  <si>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</si>
  <si>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</si>
  <si>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</si>
  <si>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</si>
  <si>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</si>
  <si>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</si>
  <si>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</si>
  <si>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</si>
  <si>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</si>
  <si>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</si>
  <si>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</si>
  <si>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</si>
  <si>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</si>
  <si>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</si>
  <si>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</si>
  <si>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</si>
  <si>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</si>
  <si>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</si>
  <si>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</si>
  <si>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</si>
  <si>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</si>
  <si>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</si>
  <si>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</si>
  <si>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</si>
  <si>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</si>
  <si>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</si>
  <si>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</si>
  <si>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</si>
  <si>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</si>
  <si>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</si>
  <si>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</si>
  <si>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</si>
  <si>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</si>
  <si>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</si>
  <si>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</si>
  <si>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</si>
  <si>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</si>
  <si>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</si>
  <si>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</si>
  <si>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</si>
  <si>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</si>
  <si>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</si>
  <si>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</si>
  <si>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</si>
  <si>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</si>
  <si>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</si>
  <si>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</si>
  <si>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</si>
  <si>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</si>
  <si>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</si>
  <si>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</si>
  <si>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</si>
  <si>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</si>
  <si>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</si>
  <si>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</si>
  <si>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</si>
  <si>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</si>
  <si>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</si>
  <si>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</si>
  <si>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</si>
  <si>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</si>
  <si>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</si>
  <si>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</si>
  <si>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</si>
  <si>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</si>
  <si>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</si>
  <si>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</si>
  <si>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</si>
  <si>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</si>
  <si>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</si>
  <si>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</si>
  <si>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</si>
  <si>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</si>
  <si>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</si>
  <si>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</si>
  <si>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</si>
  <si>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</si>
  <si>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</si>
  <si>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</si>
  <si>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</si>
  <si>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</si>
  <si>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</si>
  <si>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</si>
  <si>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</si>
  <si>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</si>
  <si>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</si>
  <si>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</si>
  <si>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</si>
  <si>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</si>
  <si>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</si>
  <si>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</si>
  <si>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</si>
  <si>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</si>
  <si>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</si>
  <si>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</si>
  <si>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</si>
  <si>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</si>
  <si>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</si>
  <si>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</si>
  <si>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</si>
  <si>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</si>
  <si>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</si>
  <si>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</si>
  <si>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</si>
  <si>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</si>
  <si>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</si>
  <si>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</si>
  <si>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</si>
  <si>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</si>
  <si>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</si>
  <si>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</si>
  <si>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</si>
  <si>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</si>
  <si>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</si>
  <si>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</si>
  <si>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</si>
  <si>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</si>
  <si>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</si>
  <si>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</si>
  <si>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</si>
  <si>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</si>
  <si>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</si>
  <si>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</si>
  <si>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</si>
  <si>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</si>
  <si>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</si>
  <si>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</si>
  <si>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</si>
  <si>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</si>
  <si>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</si>
  <si>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</si>
  <si>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</si>
  <si>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</si>
  <si>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</si>
  <si>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</si>
  <si>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</si>
  <si>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</si>
  <si>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</si>
  <si>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</si>
  <si>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</si>
  <si>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</si>
  <si>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</si>
  <si>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</si>
  <si>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</si>
  <si>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</si>
  <si>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</si>
  <si>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</si>
  <si>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</si>
  <si>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</si>
  <si>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</si>
  <si>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</si>
  <si>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</si>
  <si>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</si>
  <si>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</si>
  <si>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</si>
  <si>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</si>
  <si>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</si>
  <si>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</si>
  <si>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</si>
  <si>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</si>
  <si>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</si>
  <si>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</si>
  <si>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</si>
  <si>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</si>
  <si>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</si>
  <si>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</si>
  <si>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</si>
  <si>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</si>
  <si>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</si>
  <si>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</si>
  <si>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</si>
  <si>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</si>
  <si>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</si>
  <si>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</si>
  <si>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</si>
  <si>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</si>
  <si>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</si>
  <si>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</si>
  <si>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</si>
  <si>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</si>
  <si>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</si>
  <si>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</si>
  <si>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</si>
  <si>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</si>
  <si>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</si>
  <si>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</si>
  <si>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</si>
  <si>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</si>
  <si>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</si>
  <si>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</si>
  <si>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</si>
  <si>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</si>
  <si>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</si>
  <si>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</si>
  <si>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</si>
  <si>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</si>
  <si>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</si>
  <si>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</si>
  <si>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</si>
  <si>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</si>
  <si>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</si>
  <si>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</si>
  <si>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</si>
  <si>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</si>
  <si>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</si>
  <si>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</si>
  <si>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</si>
  <si>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</si>
  <si>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</si>
  <si>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</si>
  <si>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</si>
  <si>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</si>
  <si>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</si>
  <si>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</si>
  <si>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</si>
  <si>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</si>
  <si>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</si>
  <si>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</si>
  <si>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</si>
  <si>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</si>
  <si>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</si>
  <si>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</si>
  <si>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</si>
  <si>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</si>
  <si>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</si>
  <si>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</si>
  <si>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</si>
  <si>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</si>
  <si>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</si>
  <si>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</si>
  <si>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</si>
  <si>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</si>
  <si>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</si>
  <si>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</si>
  <si>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</si>
  <si>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</si>
  <si>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</si>
  <si>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</si>
  <si>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</si>
  <si>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</si>
  <si>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</si>
  <si>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</si>
  <si>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</si>
  <si>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</si>
  <si>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</si>
  <si>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</si>
  <si>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</si>
  <si>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</si>
  <si>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</si>
  <si>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</si>
  <si>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</si>
  <si>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</si>
  <si>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</si>
  <si>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</si>
  <si>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</si>
  <si>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</si>
  <si>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</si>
  <si>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</si>
  <si>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</si>
  <si>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</si>
  <si>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</si>
  <si>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</si>
  <si>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</si>
  <si>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</si>
  <si>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</si>
  <si>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</si>
  <si>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</si>
  <si>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</si>
  <si>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</si>
  <si>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</si>
  <si>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</si>
  <si>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</si>
  <si>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</si>
  <si>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</si>
  <si>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</si>
  <si>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</si>
  <si>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</si>
  <si>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</si>
  <si>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</si>
  <si>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</si>
  <si>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</si>
  <si>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</si>
  <si>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</si>
  <si>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</si>
  <si>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</si>
  <si>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</si>
  <si>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</si>
  <si>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</si>
  <si>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</si>
  <si>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</si>
  <si>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</si>
  <si>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</si>
  <si>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</si>
  <si>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</si>
  <si>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</si>
  <si>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</si>
  <si>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</si>
  <si>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</si>
  <si>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</si>
  <si>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</si>
  <si>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</si>
  <si>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</si>
  <si>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</si>
  <si>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</si>
  <si>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</si>
  <si>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</si>
  <si>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</si>
  <si>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</si>
  <si>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</si>
  <si>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</si>
  <si>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</si>
  <si>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</si>
  <si>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</si>
  <si>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</si>
  <si>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</si>
  <si>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</si>
  <si>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</si>
  <si>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</si>
  <si>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</si>
  <si>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</si>
  <si>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</si>
  <si>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</si>
  <si>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</si>
  <si>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</si>
  <si>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</si>
  <si>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</si>
  <si>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</si>
  <si>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</si>
  <si>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</si>
  <si>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</si>
  <si>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</si>
  <si>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</si>
  <si>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</si>
  <si>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</si>
  <si>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</si>
  <si>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</si>
  <si>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</si>
  <si>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</si>
  <si>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</si>
  <si>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</si>
  <si>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</si>
  <si>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</si>
  <si>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</si>
  <si>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</si>
  <si>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</si>
  <si>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</si>
  <si>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</si>
  <si>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</si>
  <si>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</si>
  <si>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</si>
  <si>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</si>
  <si>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</si>
  <si>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</si>
  <si>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</si>
  <si>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</si>
  <si>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</si>
  <si>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</si>
  <si>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</si>
  <si>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</si>
  <si>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</si>
  <si>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</si>
  <si>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</si>
  <si>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</si>
  <si>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</si>
  <si>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</si>
  <si>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</si>
  <si>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</si>
  <si>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</si>
  <si>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</si>
  <si>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</si>
  <si>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</si>
  <si>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</si>
  <si>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</si>
  <si>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</si>
  <si>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</si>
  <si>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</si>
  <si>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</si>
  <si>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</si>
  <si>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</si>
  <si>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</si>
  <si>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</si>
  <si>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</si>
  <si>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</si>
  <si>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</si>
  <si>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</si>
  <si>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</si>
  <si>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</si>
  <si>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</si>
  <si>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</si>
  <si>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</si>
  <si>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</si>
  <si>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</si>
  <si>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</si>
  <si>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</si>
  <si>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</si>
  <si>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</si>
  <si>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</si>
  <si>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</si>
  <si>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</si>
  <si>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</si>
  <si>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</si>
  <si>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</si>
  <si>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</si>
  <si>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</si>
  <si>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</si>
  <si>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</si>
  <si>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</si>
  <si>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</si>
  <si>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</si>
  <si>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</si>
  <si>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</si>
  <si>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</si>
  <si>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</si>
  <si>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</si>
  <si>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</si>
  <si>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</si>
  <si>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</si>
  <si>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</si>
  <si>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</si>
  <si>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</si>
  <si>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</si>
  <si>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</si>
  <si>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</si>
  <si>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</si>
  <si>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</si>
  <si>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</si>
  <si>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</si>
  <si>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</si>
  <si>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</si>
  <si>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</si>
  <si>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</si>
  <si>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</si>
  <si>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</si>
  <si>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</si>
  <si>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</si>
  <si>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</si>
  <si>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</si>
  <si>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</si>
  <si>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</si>
  <si>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</si>
  <si>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</si>
  <si>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</si>
  <si>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</si>
  <si>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</si>
  <si>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</si>
  <si>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</si>
  <si>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</si>
  <si>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</si>
  <si>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</si>
  <si>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</si>
  <si>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</si>
  <si>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</si>
  <si>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</si>
  <si>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</si>
  <si>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</si>
  <si>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</si>
  <si>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</si>
  <si>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</si>
  <si>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</si>
  <si>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</si>
  <si>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</si>
  <si>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</si>
  <si>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</si>
  <si>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</si>
  <si>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</si>
  <si>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</si>
  <si>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</si>
  <si>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</si>
  <si>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</si>
  <si>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</si>
  <si>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</si>
  <si>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</si>
  <si>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</si>
  <si>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</si>
  <si>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</si>
  <si>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</si>
  <si>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</si>
  <si>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</si>
  <si>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</si>
  <si>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</si>
  <si>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</si>
  <si>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</si>
  <si>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</si>
  <si>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</si>
  <si>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</si>
  <si>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</si>
  <si>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</si>
  <si>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</si>
  <si>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</si>
  <si>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</si>
  <si>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</si>
  <si>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</si>
  <si>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</si>
  <si>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</si>
  <si>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</si>
  <si>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</si>
  <si>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</si>
  <si>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</si>
  <si>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</si>
  <si>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</si>
  <si>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</si>
  <si>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</si>
  <si>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</si>
  <si>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</si>
  <si>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</si>
  <si>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</si>
  <si>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</si>
  <si>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</si>
  <si>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</si>
  <si>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</si>
  <si>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</si>
  <si>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</si>
  <si>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</si>
  <si>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</si>
  <si>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</si>
  <si>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</si>
  <si>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</si>
  <si>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</si>
  <si>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</si>
  <si>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</si>
  <si>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</si>
  <si>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</si>
  <si>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</si>
  <si>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</si>
  <si>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</si>
  <si>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</si>
  <si>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</si>
  <si>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</si>
  <si>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</si>
  <si>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</si>
  <si>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</si>
  <si>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</si>
  <si>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</si>
  <si>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</si>
  <si>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</si>
  <si>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</si>
  <si>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</si>
  <si>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</si>
  <si>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</si>
  <si>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</si>
  <si>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</si>
  <si>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</si>
  <si>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</si>
  <si>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</si>
  <si>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</si>
  <si>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</si>
  <si>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</si>
  <si>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</si>
  <si>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</si>
  <si>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</si>
  <si>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</si>
  <si>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</si>
  <si>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</si>
  <si>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</si>
  <si>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</si>
  <si>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</si>
  <si>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</si>
  <si>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</si>
  <si>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</si>
  <si>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</si>
  <si>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</si>
  <si>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</si>
  <si>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</si>
  <si>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</si>
  <si>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</si>
  <si>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</si>
  <si>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</si>
  <si>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</si>
  <si>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</si>
  <si>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</si>
  <si>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</si>
  <si>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</si>
  <si>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</si>
  <si>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</si>
  <si>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</si>
  <si>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</si>
  <si>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</si>
  <si>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</si>
  <si>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</si>
  <si>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</si>
  <si>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</si>
  <si>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</si>
  <si>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</si>
  <si>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</si>
  <si>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</si>
  <si>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</si>
  <si>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</si>
  <si>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</si>
  <si>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</si>
  <si>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</si>
  <si>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</si>
  <si>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</si>
  <si>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</si>
  <si>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</si>
  <si>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</si>
  <si>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</si>
  <si>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</si>
  <si>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</si>
  <si>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</si>
  <si>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</si>
  <si>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</si>
  <si>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</si>
  <si>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</si>
  <si>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</si>
  <si>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</si>
  <si>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</si>
  <si>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</si>
  <si>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</si>
  <si>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</si>
  <si>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</si>
  <si>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</si>
  <si>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</si>
  <si>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</si>
  <si>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</si>
  <si>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</si>
  <si>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</si>
  <si>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</si>
  <si>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</si>
  <si>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</si>
  <si>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</si>
  <si>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</si>
  <si>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</si>
  <si>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</si>
  <si>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</si>
  <si>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</si>
  <si>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</si>
  <si>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</si>
  <si>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</si>
  <si>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</si>
  <si>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</si>
  <si>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</si>
  <si>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</si>
  <si>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</si>
  <si>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</si>
  <si>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</si>
  <si>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</si>
  <si>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</si>
  <si>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</si>
  <si>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</si>
  <si>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</si>
  <si>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</si>
  <si>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</si>
  <si>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</si>
  <si>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</si>
  <si>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</si>
  <si>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</si>
  <si>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</si>
  <si>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</si>
  <si>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</si>
  <si>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</si>
  <si>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</si>
  <si>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</si>
  <si>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</si>
  <si>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</si>
  <si>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</si>
  <si>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</si>
  <si>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</si>
  <si>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</si>
  <si>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</si>
  <si>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</si>
  <si>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</si>
  <si>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</si>
  <si>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</si>
  <si>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</si>
  <si>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</si>
  <si>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</si>
  <si>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</si>
  <si>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</si>
  <si>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</si>
  <si>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</si>
  <si>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</si>
  <si>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</si>
  <si>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</si>
  <si>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</si>
  <si>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</si>
  <si>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</si>
  <si>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</si>
  <si>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</si>
  <si>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</si>
  <si>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</si>
  <si>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</si>
  <si>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</si>
  <si>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</si>
  <si>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</si>
  <si>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</si>
  <si>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</si>
  <si>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</si>
  <si>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</si>
  <si>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</si>
  <si>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</si>
  <si>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</si>
  <si>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</si>
  <si>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</si>
  <si>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</si>
  <si>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</si>
  <si>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</si>
  <si>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</si>
  <si>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</si>
  <si>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</si>
  <si>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</si>
  <si>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</si>
  <si>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</si>
  <si>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</si>
  <si>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</si>
  <si>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</si>
  <si>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</si>
  <si>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</si>
  <si>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</si>
  <si>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</si>
  <si>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</si>
  <si>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</si>
  <si>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</si>
  <si>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</si>
  <si>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</si>
  <si>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</si>
  <si>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</si>
  <si>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</si>
  <si>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</si>
  <si>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</si>
  <si>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</si>
  <si>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</si>
  <si>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</si>
  <si>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</si>
  <si>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</si>
  <si>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</si>
  <si>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</si>
  <si>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</si>
  <si>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</si>
  <si>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</si>
  <si>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</si>
  <si>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</si>
  <si>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</si>
  <si>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</si>
  <si>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</si>
  <si>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</si>
  <si>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</si>
  <si>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</si>
  <si>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</si>
  <si>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</si>
  <si>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</si>
  <si>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</si>
  <si>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</si>
  <si>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</si>
  <si>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</si>
  <si>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</si>
  <si>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</si>
  <si>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</si>
  <si>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</si>
  <si>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</si>
  <si>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</si>
  <si>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</si>
  <si>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</si>
  <si>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</si>
  <si>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</si>
  <si>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</si>
  <si>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</si>
  <si>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</si>
  <si>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</si>
  <si>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</si>
  <si>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</si>
  <si>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</si>
  <si>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</si>
  <si>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</si>
  <si>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</si>
  <si>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</si>
  <si>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</si>
  <si>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</si>
  <si>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</si>
  <si>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</si>
  <si>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</si>
  <si>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</si>
  <si>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</si>
  <si>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</si>
  <si>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</si>
  <si>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</si>
  <si>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</si>
  <si>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</si>
  <si>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</si>
  <si>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</si>
  <si>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</si>
  <si>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</si>
  <si>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</si>
  <si>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</si>
  <si>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</si>
  <si>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</si>
  <si>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</si>
  <si>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</si>
  <si>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</si>
  <si>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</si>
  <si>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</si>
  <si>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</si>
  <si>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</si>
  <si>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</si>
  <si>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</si>
  <si>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</si>
  <si>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</si>
  <si>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</si>
  <si>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</si>
  <si>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</si>
  <si>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</si>
  <si>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</si>
  <si>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</si>
  <si>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</si>
  <si>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</si>
  <si>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</si>
  <si>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</si>
  <si>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</si>
  <si>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</si>
  <si>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</si>
  <si>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</si>
  <si>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</si>
  <si>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</si>
  <si>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</si>
  <si>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</si>
  <si>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</si>
  <si>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</si>
  <si>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</si>
  <si>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</si>
  <si>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</si>
  <si>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</si>
  <si>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</si>
  <si>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</si>
  <si>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</si>
  <si>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</si>
  <si>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</si>
  <si>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</si>
  <si>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</si>
  <si>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</si>
  <si>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</si>
  <si>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</si>
  <si>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</si>
  <si>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</si>
  <si>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</si>
  <si>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</si>
  <si>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</si>
  <si>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</si>
  <si>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</si>
  <si>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</si>
  <si>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</si>
  <si>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</si>
  <si>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</si>
  <si>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</si>
  <si>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</si>
  <si>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</si>
  <si>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</si>
  <si>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</si>
  <si>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</si>
  <si>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</si>
  <si>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</si>
  <si>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</si>
  <si>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</si>
  <si>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</si>
  <si>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</si>
  <si>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</si>
  <si>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</si>
  <si>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</si>
  <si>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</si>
  <si>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</si>
  <si>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</si>
  <si>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</si>
  <si>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</si>
  <si>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</si>
  <si>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</si>
  <si>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</si>
  <si>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</si>
  <si>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</si>
  <si>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</si>
  <si>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</si>
  <si>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</si>
  <si>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</si>
  <si>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</si>
  <si>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</si>
  <si>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</si>
  <si>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</si>
  <si>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</si>
  <si>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</si>
  <si>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</si>
  <si>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</si>
  <si>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</si>
  <si>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</si>
  <si>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</si>
  <si>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</si>
  <si>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</si>
  <si>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</si>
  <si>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</si>
  <si>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</si>
  <si>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</si>
  <si>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</si>
  <si>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</si>
  <si>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</si>
  <si>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</si>
  <si>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</si>
  <si>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</si>
  <si>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</si>
  <si>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</si>
  <si>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</si>
  <si>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</si>
  <si>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</si>
  <si>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</si>
  <si>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</si>
  <si>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</si>
  <si>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</si>
  <si>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</si>
  <si>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</si>
  <si>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</si>
  <si>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</si>
  <si>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</si>
  <si>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</si>
  <si>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</si>
  <si>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</si>
  <si>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</si>
  <si>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</si>
  <si>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</si>
  <si>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</si>
  <si>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</si>
  <si>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</si>
  <si>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</si>
  <si>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</si>
  <si>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</si>
  <si>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</si>
  <si>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</si>
  <si>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</si>
  <si>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</si>
  <si>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</si>
  <si>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</si>
  <si>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</si>
  <si>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</si>
  <si>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</si>
  <si>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</si>
  <si>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</si>
  <si>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</si>
  <si>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</si>
  <si>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</si>
  <si>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</si>
  <si>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</si>
  <si>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</si>
  <si>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</si>
  <si>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</si>
  <si>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</si>
  <si>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</si>
  <si>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</si>
  <si>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</si>
  <si>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</si>
  <si>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</si>
  <si>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</si>
  <si>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</si>
  <si>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</si>
  <si>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</si>
  <si>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</si>
  <si>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</si>
  <si>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</si>
  <si>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</si>
  <si>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</si>
  <si>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</si>
  <si>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</si>
  <si>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</si>
  <si>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</si>
  <si>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</si>
  <si>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</si>
  <si>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</si>
  <si>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</si>
  <si>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</si>
  <si>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</si>
  <si>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</si>
  <si>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</si>
  <si>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</si>
  <si>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</si>
  <si>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</si>
  <si>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</si>
  <si>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</si>
  <si>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</si>
  <si>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</si>
  <si>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</si>
  <si>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</si>
  <si>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</si>
  <si>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</si>
  <si>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</si>
  <si>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</si>
  <si>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</si>
  <si>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</si>
  <si>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</si>
  <si>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</si>
  <si>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</si>
  <si>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</si>
  <si>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</si>
  <si>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</si>
  <si>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</si>
  <si>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</si>
  <si>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</si>
  <si>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</si>
  <si>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</si>
  <si>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</si>
  <si>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</si>
  <si>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</si>
  <si>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</si>
  <si>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</si>
  <si>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</si>
  <si>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</si>
  <si>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</si>
  <si>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</si>
  <si>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</si>
  <si>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</si>
  <si>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</si>
  <si>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</si>
  <si>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</si>
  <si>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</si>
  <si>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</si>
  <si>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</si>
  <si>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</si>
  <si>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</si>
  <si>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</si>
  <si>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</si>
  <si>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</si>
  <si>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</si>
  <si>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</si>
  <si>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</si>
  <si>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</si>
  <si>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</si>
  <si>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</si>
  <si>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</si>
  <si>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</si>
  <si>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</si>
  <si>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</si>
  <si>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</si>
  <si>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</si>
  <si>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</si>
  <si>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</si>
  <si>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</si>
  <si>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</si>
  <si>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</si>
  <si>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</si>
  <si>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</si>
  <si>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</si>
  <si>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</si>
  <si>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</si>
  <si>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</si>
  <si>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</si>
  <si>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</si>
  <si>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</si>
  <si>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</si>
  <si>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</si>
  <si>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</si>
  <si>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</si>
  <si>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</si>
  <si>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</si>
  <si>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</si>
  <si>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</si>
  <si>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</si>
  <si>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</si>
  <si>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</si>
  <si>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</si>
  <si>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</si>
  <si>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</si>
  <si>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</si>
  <si>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</si>
  <si>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</si>
  <si>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</si>
  <si>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</si>
  <si>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</si>
  <si>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</si>
  <si>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</si>
  <si>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</si>
  <si>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</si>
  <si>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</si>
  <si>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</si>
  <si>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</si>
  <si>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</si>
  <si>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</si>
  <si>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</si>
  <si>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</si>
  <si>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</si>
  <si>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</si>
  <si>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</si>
  <si>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</si>
  <si>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</si>
  <si>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</si>
  <si>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</si>
  <si>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</si>
  <si>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</si>
  <si>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</si>
  <si>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</si>
  <si>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</si>
  <si>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</si>
  <si>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</si>
  <si>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</si>
  <si>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</si>
  <si>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</si>
  <si>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</si>
  <si>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</si>
  <si>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</si>
  <si>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</si>
  <si>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</si>
  <si>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</si>
  <si>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</si>
  <si>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</si>
  <si>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</si>
  <si>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</si>
  <si>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</si>
  <si>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</si>
  <si>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</si>
  <si>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</si>
  <si>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</si>
  <si>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</si>
  <si>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</si>
  <si>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</si>
  <si>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</si>
  <si>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</si>
  <si>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</si>
  <si>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</si>
  <si>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</si>
  <si>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</si>
  <si>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</si>
  <si>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</si>
  <si>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</si>
  <si>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</si>
  <si>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</si>
  <si>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</si>
  <si>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</si>
  <si>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</si>
  <si>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</si>
  <si>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</si>
  <si>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</si>
  <si>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</si>
  <si>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</si>
  <si>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</si>
  <si>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</si>
  <si>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</si>
  <si>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</si>
  <si>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</si>
  <si>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</si>
  <si>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</si>
  <si>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</si>
  <si>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</si>
  <si>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</si>
  <si>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</si>
  <si>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</si>
  <si>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</si>
  <si>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</si>
  <si>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</si>
  <si>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</si>
  <si>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</si>
  <si>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</si>
  <si>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</si>
  <si>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</si>
  <si>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</si>
  <si>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</si>
  <si>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</si>
  <si>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</si>
  <si>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</si>
  <si>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</si>
  <si>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</si>
  <si>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</si>
  <si>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</si>
  <si>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</si>
  <si>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</si>
  <si>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</si>
  <si>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</si>
  <si>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</si>
  <si>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</si>
  <si>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</si>
  <si>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</si>
  <si>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</si>
  <si>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</si>
  <si>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</si>
  <si>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</si>
  <si>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</si>
  <si>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</si>
  <si>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</si>
  <si>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</si>
  <si>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</si>
  <si>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</si>
  <si>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</si>
  <si>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</si>
  <si>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</si>
  <si>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</si>
  <si>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</si>
  <si>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</si>
  <si>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</si>
  <si>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</si>
  <si>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</si>
  <si>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</si>
  <si>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</si>
  <si>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</si>
  <si>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</si>
  <si>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</si>
  <si>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</si>
  <si>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</si>
  <si>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</si>
  <si>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</si>
  <si>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</si>
  <si>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</si>
  <si>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</si>
  <si>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</si>
  <si>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</si>
  <si>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</si>
  <si>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</si>
  <si>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</si>
  <si>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</si>
  <si>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</si>
  <si>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</si>
  <si>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</si>
  <si>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</si>
  <si>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</si>
  <si>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</si>
  <si>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</si>
  <si>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</si>
  <si>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</si>
  <si>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</si>
  <si>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</si>
  <si>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</si>
  <si>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</si>
  <si>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</si>
  <si>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</si>
  <si>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</si>
  <si>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</si>
  <si>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</si>
  <si>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</si>
  <si>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</si>
  <si>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</si>
  <si>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</si>
  <si>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</si>
  <si>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</si>
  <si>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</si>
  <si>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</si>
  <si>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</si>
  <si>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</si>
  <si>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</si>
  <si>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</si>
  <si>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</si>
  <si>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</si>
  <si>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</si>
  <si>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</si>
  <si>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</si>
  <si>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</si>
  <si>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</si>
  <si>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</si>
  <si>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</si>
  <si>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</si>
  <si>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</si>
  <si>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</si>
  <si>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</si>
  <si>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</si>
  <si>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</si>
  <si>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</si>
  <si>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</si>
  <si>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</si>
  <si>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</si>
  <si>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</si>
  <si>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</si>
  <si>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</si>
  <si>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</si>
  <si>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</si>
  <si>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</si>
  <si>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</si>
  <si>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</si>
  <si>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</si>
  <si>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</si>
  <si>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</si>
  <si>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</si>
  <si>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</si>
  <si>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</si>
  <si>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</si>
  <si>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</si>
  <si>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</si>
  <si>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</si>
  <si>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</si>
  <si>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</si>
  <si>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</si>
  <si>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</si>
  <si>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</si>
  <si>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</si>
  <si>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</si>
  <si>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</si>
  <si>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</si>
  <si>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</si>
  <si>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</si>
  <si>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</si>
  <si>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</si>
  <si>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</si>
  <si>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</si>
  <si>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</si>
  <si>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</si>
  <si>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</si>
  <si>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</si>
  <si>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</si>
  <si>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</si>
  <si>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</si>
  <si>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</si>
  <si>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</si>
  <si>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</si>
  <si>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</si>
  <si>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</si>
  <si>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</si>
  <si>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</si>
  <si>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</si>
  <si>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</si>
  <si>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</si>
  <si>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</si>
  <si>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</si>
  <si>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</si>
  <si>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</si>
  <si>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</si>
  <si>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</si>
  <si>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</si>
  <si>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</si>
  <si>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</si>
  <si>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</si>
  <si>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</si>
  <si>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</si>
  <si>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</si>
  <si>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</si>
  <si>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</si>
  <si>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</si>
  <si>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</si>
  <si>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</si>
  <si>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</si>
  <si>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</si>
  <si>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</si>
  <si>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</si>
  <si>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</si>
  <si>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</si>
  <si>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</si>
  <si>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</si>
  <si>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</si>
  <si>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</si>
  <si>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</si>
  <si>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</si>
  <si>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</si>
  <si>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</si>
  <si>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</si>
  <si>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</si>
  <si>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</si>
  <si>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</si>
  <si>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</si>
  <si>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</si>
  <si>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</si>
  <si>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</si>
  <si>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</si>
  <si>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</si>
  <si>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</si>
  <si>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</si>
  <si>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</si>
  <si>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</si>
  <si>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</si>
  <si>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</si>
  <si>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</si>
  <si>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</si>
  <si>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</si>
  <si>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</si>
  <si>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</si>
  <si>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</si>
  <si>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</si>
  <si>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</si>
  <si>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</si>
  <si>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</si>
  <si>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</si>
  <si>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</si>
  <si>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</si>
  <si>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</si>
  <si>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</si>
  <si>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</si>
  <si>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</si>
  <si>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</si>
  <si>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</si>
  <si>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</si>
  <si>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</si>
  <si>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</si>
  <si>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</si>
  <si>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</si>
  <si>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</si>
  <si>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</si>
  <si>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</si>
  <si>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</si>
  <si>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</si>
  <si>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</si>
  <si>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</si>
  <si>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</si>
  <si>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</si>
  <si>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</si>
  <si>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</si>
  <si>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</si>
  <si>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</si>
  <si>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</si>
  <si>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</si>
  <si>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</si>
  <si>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</si>
  <si>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</si>
  <si>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</si>
  <si>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</si>
  <si>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</si>
  <si>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</si>
  <si>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</si>
  <si>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</si>
  <si>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</si>
  <si>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</si>
  <si>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</si>
  <si>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</si>
  <si>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</si>
  <si>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</si>
  <si>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</si>
  <si>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</si>
  <si>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</si>
  <si>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</si>
  <si>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</si>
  <si>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</si>
  <si>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</si>
  <si>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</si>
  <si>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</si>
  <si>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</si>
  <si>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</si>
  <si>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</si>
  <si>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</si>
  <si>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</si>
  <si>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</si>
  <si>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</si>
  <si>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</si>
  <si>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</si>
  <si>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</si>
  <si>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</si>
  <si>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</si>
  <si>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</si>
  <si>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</si>
  <si>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</si>
  <si>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</si>
  <si>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</si>
  <si>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</si>
  <si>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</si>
  <si>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</si>
  <si>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</si>
  <si>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</si>
  <si>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</si>
  <si>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</si>
  <si>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</si>
  <si>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</si>
  <si>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</si>
  <si>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</si>
  <si>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</si>
  <si>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</si>
  <si>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</si>
  <si>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</si>
  <si>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</si>
  <si>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</si>
  <si>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</si>
  <si>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</si>
  <si>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</si>
  <si>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</si>
  <si>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</si>
  <si>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</si>
  <si>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</si>
  <si>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</si>
  <si>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</si>
  <si>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</si>
  <si>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</si>
  <si>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</si>
  <si>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</si>
  <si>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</si>
  <si>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</si>
  <si>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</si>
  <si>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</si>
  <si>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</si>
  <si>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</si>
  <si>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</si>
  <si>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</si>
  <si>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</si>
  <si>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</si>
  <si>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</si>
  <si>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</si>
  <si>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</si>
  <si>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</si>
  <si>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</si>
  <si>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</si>
  <si>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</si>
  <si>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</si>
  <si>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</si>
  <si>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</si>
  <si>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</si>
  <si>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</si>
  <si>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</si>
  <si>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</si>
  <si>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</si>
  <si>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</si>
  <si>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</si>
  <si>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</si>
  <si>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</si>
  <si>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</si>
  <si>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</si>
  <si>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</si>
  <si>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</si>
  <si>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</si>
  <si>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</si>
  <si>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</si>
  <si>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</si>
  <si>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</si>
  <si>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</si>
  <si>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</si>
  <si>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</si>
  <si>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</si>
  <si>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</si>
  <si>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</si>
  <si>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</si>
  <si>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</si>
  <si>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</si>
  <si>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</si>
  <si>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</si>
  <si>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</si>
  <si>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</si>
  <si>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</si>
  <si>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</si>
  <si>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</si>
  <si>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</si>
  <si>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</si>
  <si>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</si>
  <si>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</si>
  <si>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</si>
  <si>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</si>
  <si>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</si>
  <si>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</si>
  <si>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</si>
  <si>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</si>
  <si>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</si>
  <si>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</si>
  <si>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</si>
  <si>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</si>
  <si>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</si>
  <si>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</si>
  <si>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</si>
  <si>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</si>
  <si>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</si>
  <si>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</si>
  <si>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</si>
  <si>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</si>
  <si>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</si>
  <si>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</si>
  <si>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</si>
  <si>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</si>
  <si>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</si>
  <si>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</si>
  <si>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</si>
  <si>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</si>
  <si>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</si>
  <si>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</si>
  <si>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</si>
  <si>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</si>
  <si>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</si>
  <si>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</si>
  <si>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</si>
  <si>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</si>
  <si>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</si>
  <si>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</si>
  <si>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</si>
  <si>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</si>
  <si>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</si>
  <si>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</si>
  <si>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</si>
  <si>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</si>
  <si>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</si>
  <si>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</si>
  <si>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</si>
  <si>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</si>
  <si>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</si>
  <si>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</si>
  <si>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</si>
  <si>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</si>
  <si>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</si>
  <si>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</si>
  <si>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</si>
  <si>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</si>
  <si>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</si>
  <si>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</si>
  <si>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</si>
  <si>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</si>
  <si>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</si>
  <si>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</si>
  <si>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</si>
  <si>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</si>
  <si>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</si>
  <si>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</si>
  <si>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</si>
  <si>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</si>
  <si>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</si>
  <si>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</si>
  <si>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</si>
  <si>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</si>
  <si>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</si>
  <si>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</si>
  <si>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</si>
  <si>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</si>
  <si>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</si>
  <si>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</si>
  <si>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</si>
  <si>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</si>
  <si>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</si>
  <si>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</si>
  <si>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</si>
  <si>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</si>
  <si>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</si>
  <si>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</si>
  <si>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</si>
  <si>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</si>
  <si>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</si>
  <si>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</si>
  <si>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</si>
  <si>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</si>
  <si>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</si>
  <si>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</si>
  <si>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</si>
  <si>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</si>
  <si>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</si>
  <si>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</si>
  <si>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</si>
  <si>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</si>
  <si>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</si>
  <si>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</si>
  <si>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</si>
  <si>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</si>
  <si>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</si>
  <si>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</si>
  <si>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</si>
  <si>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</si>
  <si>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</si>
  <si>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</si>
  <si>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</si>
  <si>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</si>
  <si>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</si>
  <si>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</si>
  <si>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</si>
  <si>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</si>
  <si>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</si>
  <si>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</si>
  <si>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</si>
  <si>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</si>
  <si>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</si>
  <si>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</si>
  <si>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</si>
  <si>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</si>
  <si>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</si>
  <si>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</si>
  <si>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</si>
  <si>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</si>
  <si>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</si>
  <si>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</si>
  <si>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</si>
  <si>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</si>
  <si>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</si>
  <si>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</si>
  <si>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</si>
  <si>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</si>
  <si>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</si>
  <si>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</si>
  <si>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</si>
  <si>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</si>
  <si>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</si>
  <si>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</si>
  <si>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</si>
  <si>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</si>
  <si>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</si>
  <si>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</si>
  <si>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</si>
  <si>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</si>
  <si>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</si>
  <si>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</si>
  <si>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</si>
  <si>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</si>
  <si>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</si>
  <si>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</si>
  <si>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</si>
  <si>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</si>
  <si>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</si>
  <si>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</si>
  <si>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</si>
  <si>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</si>
  <si>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</si>
  <si>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</si>
  <si>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</si>
  <si>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</si>
  <si>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</si>
  <si>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</si>
  <si>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</si>
  <si>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</si>
  <si>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</si>
  <si>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</si>
  <si>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</si>
  <si>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</si>
  <si>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</si>
  <si>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</si>
  <si>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</si>
  <si>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</si>
  <si>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</si>
  <si>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</si>
  <si>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</si>
  <si>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</si>
  <si>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</si>
  <si>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</si>
  <si>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</si>
  <si>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</si>
  <si>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</si>
  <si>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</si>
  <si>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</si>
  <si>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</si>
  <si>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</si>
  <si>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</si>
  <si>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</si>
  <si>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</si>
  <si>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</si>
  <si>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</si>
  <si>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</si>
  <si>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</si>
  <si>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</si>
  <si>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</si>
  <si>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</si>
  <si>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</si>
  <si>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</si>
  <si>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</si>
  <si>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</si>
  <si>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</si>
  <si>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</si>
  <si>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</si>
  <si>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</si>
  <si>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</si>
  <si>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</si>
  <si>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</si>
  <si>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</si>
  <si>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</si>
  <si>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</si>
  <si>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</si>
  <si>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</si>
  <si>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</si>
  <si>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</si>
  <si>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</si>
  <si>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</si>
  <si>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</si>
  <si>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</si>
  <si>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</si>
  <si>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</si>
  <si>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</si>
  <si>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</si>
  <si>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</si>
  <si>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</si>
  <si>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</si>
  <si>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</si>
  <si>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</si>
  <si>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</si>
  <si>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</si>
  <si>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</si>
  <si>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</si>
  <si>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</si>
  <si>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</si>
  <si>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</si>
  <si>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</si>
  <si>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</si>
  <si>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</si>
  <si>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</si>
  <si>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</si>
  <si>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</si>
  <si>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</si>
  <si>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</si>
  <si>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</si>
  <si>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</si>
  <si>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</si>
  <si>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</si>
  <si>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</si>
  <si>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</si>
  <si>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</si>
  <si>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</si>
  <si>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</si>
  <si>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</si>
  <si>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</si>
  <si>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</si>
  <si>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</si>
  <si>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</si>
  <si>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</si>
  <si>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</si>
  <si>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</si>
  <si>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</si>
  <si>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</si>
  <si>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</si>
  <si>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</si>
  <si>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</si>
  <si>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</si>
  <si>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</si>
  <si>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</si>
  <si>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</si>
  <si>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</si>
  <si>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</si>
  <si>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</si>
  <si>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</si>
  <si>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</si>
  <si>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</si>
  <si>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</si>
  <si>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</si>
  <si>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</si>
  <si>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</si>
  <si>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</si>
  <si>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</si>
  <si>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</si>
  <si>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</si>
  <si>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</si>
  <si>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</si>
  <si>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</si>
  <si>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</si>
  <si>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</si>
  <si>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</si>
  <si>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</si>
  <si>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</si>
  <si>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</si>
  <si>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</si>
  <si>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</si>
  <si>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</si>
  <si>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</si>
  <si>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</si>
  <si>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</si>
  <si>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</si>
  <si>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</si>
  <si>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</si>
  <si>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</si>
  <si>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</si>
  <si>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</si>
  <si>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</si>
  <si>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</si>
  <si>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</si>
  <si>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</si>
  <si>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</si>
  <si>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</si>
  <si>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</si>
  <si>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</si>
  <si>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</si>
  <si>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</si>
  <si>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</si>
  <si>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</si>
  <si>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</si>
  <si>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</si>
  <si>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</si>
  <si>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</si>
  <si>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</si>
  <si>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</si>
  <si>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</si>
  <si>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</si>
  <si>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</si>
  <si>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</si>
  <si>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</si>
  <si>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</si>
  <si>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</si>
  <si>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</si>
  <si>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</si>
  <si>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</si>
  <si>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</si>
  <si>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</si>
  <si>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</si>
  <si>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</si>
  <si>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</si>
  <si>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</si>
  <si>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</si>
  <si>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</si>
  <si>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</si>
  <si>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</si>
  <si>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</si>
  <si>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</si>
  <si>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</si>
  <si>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</si>
  <si>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</si>
  <si>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</si>
  <si>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</si>
  <si>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</si>
  <si>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</si>
  <si>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</si>
  <si>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</si>
  <si>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</si>
  <si>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</si>
  <si>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</si>
  <si>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</si>
  <si>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</si>
  <si>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</si>
  <si>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</si>
  <si>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</si>
  <si>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</si>
  <si>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</si>
  <si>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</si>
  <si>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</si>
  <si>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</si>
  <si>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</si>
  <si>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</si>
  <si>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</si>
  <si>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</si>
  <si>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</si>
  <si>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</si>
  <si>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</si>
  <si>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</si>
  <si>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</si>
  <si>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</si>
  <si>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</si>
  <si>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</si>
  <si>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</si>
  <si>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</si>
  <si>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</si>
  <si>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</si>
  <si>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</si>
  <si>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</si>
  <si>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</si>
  <si>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</si>
  <si>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</si>
  <si>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</si>
  <si>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</si>
  <si>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</si>
  <si>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</si>
  <si>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</si>
  <si>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</si>
  <si>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</si>
  <si>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</si>
  <si>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</si>
  <si>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</si>
  <si>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</si>
  <si>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</si>
  <si>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</si>
  <si>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</si>
  <si>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</si>
  <si>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</si>
  <si>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</si>
  <si>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</si>
  <si>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</si>
  <si>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</si>
  <si>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</si>
  <si>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</si>
  <si>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</si>
  <si>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</si>
  <si>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</si>
  <si>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</si>
  <si>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</si>
  <si>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</si>
  <si>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</si>
  <si>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</si>
  <si>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</si>
  <si>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</si>
  <si>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</si>
  <si>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</si>
  <si>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</si>
  <si>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</si>
  <si>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</si>
  <si>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</si>
  <si>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</si>
  <si>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</si>
  <si>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</si>
  <si>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</si>
  <si>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</si>
  <si>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</si>
  <si>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</si>
  <si>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</si>
  <si>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</si>
  <si>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</si>
  <si>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</si>
  <si>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</si>
  <si>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</si>
  <si>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</si>
  <si>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</si>
  <si>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</si>
  <si>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</si>
  <si>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</si>
  <si>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</si>
  <si>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</si>
  <si>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</si>
  <si>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</si>
  <si>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</si>
  <si>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</si>
  <si>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</si>
  <si>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</si>
  <si>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</si>
  <si>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</si>
  <si>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</si>
  <si>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</si>
  <si>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</si>
  <si>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</si>
  <si>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</si>
  <si>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</si>
  <si>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</si>
  <si>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</si>
  <si>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</si>
  <si>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</si>
  <si>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</si>
  <si>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</si>
  <si>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</si>
  <si>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</si>
  <si>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</si>
  <si>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</si>
  <si>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</si>
  <si>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</si>
  <si>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</si>
  <si>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</si>
  <si>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</si>
  <si>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</si>
  <si>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</si>
  <si>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</si>
  <si>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</si>
  <si>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</si>
  <si>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</si>
  <si>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</si>
  <si>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</si>
  <si>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</si>
  <si>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</si>
  <si>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</si>
  <si>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</si>
  <si>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</si>
  <si>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</si>
  <si>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</si>
  <si>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</si>
  <si>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</si>
  <si>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</si>
  <si>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</si>
  <si>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</si>
  <si>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</si>
  <si>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</si>
  <si>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</si>
  <si>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</si>
  <si>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</si>
  <si>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</si>
  <si>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</si>
  <si>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</si>
  <si>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</si>
  <si>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</si>
  <si>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</si>
  <si>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</si>
  <si>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</si>
  <si>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</si>
  <si>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</si>
  <si>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</si>
  <si>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</si>
  <si>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</si>
  <si>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</si>
  <si>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</si>
  <si>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</si>
  <si>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</si>
  <si>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</si>
  <si>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</si>
  <si>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</si>
  <si>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</si>
  <si>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</si>
  <si>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</si>
  <si>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</si>
  <si>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</si>
  <si>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</si>
  <si>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</si>
  <si>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</si>
  <si>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</si>
  <si>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</si>
  <si>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</si>
  <si>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</si>
  <si>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</si>
  <si>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</si>
  <si>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</si>
  <si>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</si>
  <si>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</si>
  <si>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</si>
  <si>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</si>
  <si>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</si>
  <si>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</si>
  <si>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</si>
  <si>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</si>
  <si>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</si>
  <si>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</si>
  <si>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</si>
  <si>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</si>
  <si>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</si>
  <si>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</si>
  <si>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</si>
  <si>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</si>
  <si>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</si>
  <si>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</si>
  <si>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</si>
  <si>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</si>
  <si>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</si>
  <si>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</si>
  <si>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</si>
  <si>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</si>
  <si>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</si>
  <si>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</si>
  <si>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</si>
  <si>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</si>
  <si>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</si>
  <si>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</si>
  <si>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</si>
  <si>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</si>
  <si>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</si>
  <si>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</si>
  <si>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</si>
  <si>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</si>
  <si>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</si>
  <si>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</si>
  <si>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</si>
  <si>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</si>
  <si>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</si>
  <si>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</si>
  <si>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</si>
  <si>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</si>
  <si>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</si>
  <si>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</si>
  <si>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</si>
  <si>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</si>
  <si>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</si>
  <si>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</si>
  <si>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</si>
  <si>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</si>
  <si>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</si>
  <si>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</si>
  <si>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</si>
  <si>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</si>
  <si>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</si>
  <si>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</si>
  <si>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</si>
  <si>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</si>
  <si>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</si>
  <si>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</si>
  <si>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</si>
  <si>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</si>
  <si>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</si>
  <si>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</si>
  <si>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</si>
  <si>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</si>
  <si>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</si>
  <si>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</si>
  <si>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</si>
  <si>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</si>
  <si>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</si>
  <si>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</si>
  <si>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</si>
  <si>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</si>
  <si>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</si>
  <si>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</si>
  <si>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</si>
  <si>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</si>
  <si>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</si>
  <si>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</si>
  <si>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</si>
  <si>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</si>
  <si>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</si>
  <si>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</si>
  <si>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</si>
  <si>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</si>
  <si>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</si>
  <si>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</si>
  <si>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</si>
  <si>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</si>
  <si>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</si>
  <si>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</si>
  <si>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</si>
  <si>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</si>
  <si>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</si>
  <si>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</si>
  <si>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</si>
  <si>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</si>
  <si>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</si>
  <si>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</si>
  <si>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</si>
  <si>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</si>
  <si>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</si>
  <si>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</si>
  <si>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</si>
  <si>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</si>
  <si>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</si>
  <si>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</si>
  <si>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</si>
  <si>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</si>
  <si>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</si>
  <si>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</si>
  <si>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</si>
  <si>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</si>
  <si>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</si>
  <si>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</si>
  <si>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</si>
  <si>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</si>
  <si>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</si>
  <si>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</si>
  <si>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</si>
  <si>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</si>
  <si>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</si>
  <si>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</si>
  <si>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</si>
  <si>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</si>
  <si>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</si>
  <si>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</si>
  <si>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</si>
  <si>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</si>
  <si>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</si>
  <si>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</si>
  <si>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</si>
  <si>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</si>
  <si>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</si>
  <si>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</si>
  <si>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</si>
  <si>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</si>
  <si>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</si>
  <si>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</si>
  <si>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</si>
  <si>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</si>
  <si>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</si>
  <si>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</si>
  <si>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</si>
  <si>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</si>
  <si>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</si>
  <si>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</si>
  <si>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</si>
  <si>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</si>
  <si>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</si>
  <si>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</si>
  <si>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</si>
  <si>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</si>
  <si>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</si>
  <si>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</si>
  <si>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</si>
  <si>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</si>
  <si>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</si>
  <si>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</si>
  <si>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</si>
  <si>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</si>
  <si>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</si>
  <si>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</si>
  <si>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</si>
  <si>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</si>
  <si>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</si>
  <si>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</si>
  <si>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</si>
  <si>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</si>
  <si>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</si>
  <si>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</si>
  <si>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</si>
  <si>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</si>
  <si>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</si>
  <si>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</si>
  <si>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</si>
  <si>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</si>
  <si>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</si>
  <si>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</si>
  <si>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</si>
  <si>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</si>
  <si>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</si>
  <si>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</si>
  <si>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</si>
  <si>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</si>
  <si>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</si>
  <si>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</si>
  <si>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</si>
  <si>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</si>
  <si>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</si>
  <si>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</si>
  <si>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</si>
  <si>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</si>
  <si>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</si>
  <si>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</si>
  <si>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</si>
  <si>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</si>
  <si>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</si>
  <si>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</si>
  <si>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</si>
  <si>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</si>
  <si>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</si>
  <si>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</si>
  <si>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</si>
  <si>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</si>
  <si>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</si>
  <si>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</si>
  <si>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</si>
  <si>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</si>
  <si>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</si>
  <si>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</si>
  <si>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</si>
  <si>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</si>
  <si>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</si>
  <si>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</si>
  <si>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</si>
  <si>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</si>
  <si>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</si>
  <si>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</si>
  <si>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</si>
  <si>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</si>
  <si>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</si>
  <si>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</si>
  <si>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</si>
  <si>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</si>
  <si>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</si>
  <si>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</si>
  <si>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</si>
  <si>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</si>
  <si>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</si>
  <si>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</si>
  <si>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</si>
  <si>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</si>
  <si>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</si>
  <si>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</si>
  <si>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</si>
  <si>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</si>
  <si>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</si>
  <si>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</si>
  <si>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</si>
  <si>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</si>
  <si>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</si>
  <si>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</si>
  <si>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</si>
  <si>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</si>
  <si>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</si>
  <si>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</si>
  <si>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</si>
  <si>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</si>
  <si>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</si>
  <si>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</si>
  <si>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</si>
  <si>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</si>
  <si>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</si>
  <si>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</si>
  <si>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</si>
  <si>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</si>
  <si>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</si>
  <si>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</si>
  <si>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</si>
  <si>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</si>
  <si>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</si>
  <si>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</si>
  <si>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</si>
  <si>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</si>
  <si>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</si>
  <si>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</si>
  <si>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</si>
  <si>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</si>
  <si>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</si>
  <si>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</si>
  <si>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</si>
  <si>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</si>
  <si>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</si>
  <si>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</si>
  <si>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</si>
  <si>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</si>
  <si>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</si>
  <si>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</si>
  <si>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</si>
  <si>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</si>
  <si>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</si>
  <si>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</si>
  <si>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</si>
  <si>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</si>
  <si>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</si>
  <si>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</si>
  <si>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</si>
  <si>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</si>
  <si>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</si>
  <si>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</si>
  <si>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</si>
  <si>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</si>
  <si>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</si>
  <si>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</si>
  <si>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</si>
  <si>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</si>
  <si>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</si>
  <si>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</si>
  <si>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</si>
  <si>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</si>
  <si>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</si>
  <si>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</si>
  <si>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</si>
  <si>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</si>
  <si>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</si>
  <si>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</si>
  <si>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</si>
  <si>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</si>
  <si>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</si>
  <si>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</si>
  <si>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</si>
  <si>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</si>
  <si>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</si>
  <si>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</si>
  <si>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</si>
  <si>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</si>
  <si>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</si>
  <si>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</si>
  <si>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</si>
  <si>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</si>
  <si>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</si>
  <si>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</si>
  <si>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</si>
  <si>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</si>
  <si>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</si>
  <si>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</si>
  <si>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</si>
  <si>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</si>
  <si>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</si>
  <si>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</si>
  <si>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</si>
  <si>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</si>
  <si>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</si>
  <si>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</si>
  <si>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</si>
  <si>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</si>
  <si>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</si>
  <si>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</si>
  <si>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</si>
  <si>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</si>
  <si>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</si>
  <si>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</si>
  <si>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</si>
  <si>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</si>
  <si>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</si>
  <si>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</si>
  <si>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</si>
  <si>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</si>
  <si>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</si>
  <si>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</si>
  <si>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</si>
  <si>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</si>
  <si>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</si>
  <si>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</si>
  <si>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</si>
  <si>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</si>
  <si>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</si>
  <si>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</si>
  <si>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</si>
  <si>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</si>
  <si>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</si>
  <si>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</si>
  <si>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</si>
  <si>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</si>
  <si>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</si>
  <si>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</si>
  <si>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</si>
  <si>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</si>
  <si>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</si>
  <si>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</si>
  <si>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</si>
  <si>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</si>
  <si>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</si>
  <si>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</si>
  <si>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</si>
  <si>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</si>
  <si>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</si>
  <si>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</si>
  <si>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</si>
  <si>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</si>
  <si>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</si>
  <si>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</si>
  <si>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</si>
  <si>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</si>
  <si>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</si>
  <si>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</si>
  <si>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</si>
  <si>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</si>
  <si>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</si>
  <si>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</si>
  <si>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</si>
  <si>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</si>
  <si>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</si>
  <si>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</si>
  <si>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</si>
  <si>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</si>
  <si>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</si>
  <si>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</si>
  <si>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</si>
  <si>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</si>
  <si>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</si>
  <si>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</si>
  <si>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</si>
  <si>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</si>
  <si>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</si>
  <si>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</si>
  <si>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</si>
  <si>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</si>
  <si>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</si>
  <si>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</si>
  <si>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</si>
  <si>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</si>
  <si>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</si>
  <si>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</si>
  <si>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</si>
  <si>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</si>
  <si>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</si>
  <si>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</si>
  <si>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</si>
  <si>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</si>
  <si>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</si>
  <si>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</si>
  <si>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</si>
  <si>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</si>
  <si>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</si>
  <si>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</si>
  <si>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</si>
  <si>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</si>
  <si>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</si>
  <si>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</si>
  <si>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</si>
  <si>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</si>
  <si>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</si>
  <si>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</si>
  <si>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</si>
  <si>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</si>
  <si>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</si>
  <si>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</si>
  <si>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</si>
  <si>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</si>
  <si>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</si>
  <si>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</si>
  <si>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</si>
  <si>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</si>
  <si>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</si>
  <si>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</si>
  <si>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</si>
  <si>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</si>
  <si>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</si>
  <si>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</si>
  <si>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</si>
  <si>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</si>
  <si>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</si>
  <si>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</si>
  <si>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</si>
  <si>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</si>
  <si>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</si>
  <si>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</si>
  <si>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</si>
  <si>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</si>
  <si>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</si>
  <si>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</si>
  <si>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</si>
  <si>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</si>
  <si>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</si>
  <si>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</si>
  <si>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</si>
  <si>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</si>
  <si>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</si>
  <si>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</si>
  <si>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</si>
  <si>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</si>
  <si>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</si>
  <si>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</si>
  <si>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</si>
  <si>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</si>
  <si>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</si>
  <si>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</si>
  <si>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</si>
  <si>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</si>
  <si>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</si>
  <si>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</si>
  <si>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</si>
  <si>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</si>
  <si>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</si>
  <si>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</si>
  <si>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</si>
  <si>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</si>
  <si>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</si>
  <si>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</si>
  <si>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</si>
  <si>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</si>
  <si>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</si>
  <si>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</si>
  <si>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</si>
  <si>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</si>
  <si>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</si>
  <si>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</si>
  <si>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</si>
  <si>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</si>
  <si>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</si>
  <si>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</si>
  <si>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</si>
  <si>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</si>
  <si>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</si>
  <si>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</si>
  <si>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</si>
  <si>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</si>
  <si>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</si>
  <si>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</si>
  <si>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</si>
  <si>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</si>
  <si>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</si>
  <si>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</si>
  <si>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</si>
  <si>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</si>
  <si>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</si>
  <si>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</si>
  <si>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</si>
  <si>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</si>
  <si>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</si>
  <si>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</si>
  <si>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</si>
  <si>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</si>
  <si>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</si>
  <si>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</si>
  <si>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</si>
  <si>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</si>
  <si>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</si>
  <si>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</si>
  <si>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</si>
  <si>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</si>
  <si>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</si>
  <si>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</si>
  <si>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</si>
  <si>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</si>
  <si>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</si>
  <si>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</si>
  <si>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</si>
  <si>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</si>
  <si>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</si>
  <si>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</si>
  <si>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</si>
  <si>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</si>
  <si>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</si>
  <si>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</si>
  <si>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</si>
  <si>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</si>
  <si>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</si>
  <si>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</si>
  <si>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</si>
  <si>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</si>
  <si>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</si>
  <si>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</si>
  <si>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</si>
  <si>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</si>
  <si>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</si>
  <si>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</si>
  <si>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</si>
  <si>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</si>
  <si>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</si>
  <si>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</si>
  <si>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</si>
  <si>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</si>
  <si>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</si>
  <si>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</si>
  <si>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</si>
  <si>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</si>
  <si>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</si>
  <si>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</si>
  <si>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</si>
  <si>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</si>
  <si>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</si>
  <si>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</si>
  <si>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</si>
  <si>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</si>
  <si>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</si>
  <si>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</si>
  <si>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</si>
  <si>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</si>
  <si>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</si>
  <si>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</si>
  <si>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</si>
  <si>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</si>
  <si>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</si>
  <si>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</si>
  <si>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</si>
  <si>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</si>
  <si>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</si>
  <si>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</si>
  <si>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</si>
  <si>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</si>
  <si>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</si>
  <si>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</si>
  <si>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</si>
  <si>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</si>
  <si>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</si>
  <si>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</si>
  <si>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</si>
  <si>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</si>
  <si>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</si>
  <si>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</si>
  <si>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</si>
  <si>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</si>
  <si>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</si>
  <si>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</si>
  <si>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</si>
  <si>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</si>
  <si>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</si>
  <si>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</si>
  <si>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</si>
  <si>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</si>
  <si>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</si>
  <si>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</si>
  <si>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</si>
  <si>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</si>
  <si>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</si>
  <si>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</si>
  <si>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</si>
  <si>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</si>
  <si>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</si>
  <si>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</si>
  <si>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</si>
  <si>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</si>
  <si>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</si>
  <si>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</si>
  <si>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</si>
  <si>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</si>
  <si>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</si>
  <si>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</si>
  <si>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</si>
  <si>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</si>
  <si>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</si>
  <si>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</si>
  <si>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</si>
  <si>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</si>
  <si>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</si>
  <si>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</si>
  <si>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</si>
  <si>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</si>
  <si>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</si>
  <si>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</si>
  <si>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</si>
  <si>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</si>
  <si>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</si>
  <si>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</si>
  <si>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</si>
  <si>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</si>
  <si>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</si>
  <si>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</si>
  <si>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</si>
  <si>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</si>
  <si>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</si>
  <si>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</si>
  <si>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</si>
  <si>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</si>
  <si>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</si>
  <si>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</si>
  <si>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</si>
  <si>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</si>
  <si>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</si>
  <si>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</si>
  <si>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</si>
  <si>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</si>
  <si>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</si>
  <si>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</si>
  <si>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</si>
  <si>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</si>
  <si>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</si>
  <si>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</si>
  <si>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</si>
  <si>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</si>
  <si>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</si>
  <si>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</si>
  <si>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</si>
  <si>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</si>
  <si>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</si>
  <si>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</si>
  <si>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</si>
  <si>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</si>
  <si>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</si>
  <si>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</si>
  <si>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</si>
  <si>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</si>
  <si>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</si>
  <si>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</si>
  <si>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</si>
  <si>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</si>
  <si>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</si>
  <si>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</si>
  <si>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</si>
  <si>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</si>
  <si>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</si>
  <si>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</si>
  <si>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</si>
  <si>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</si>
  <si>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</si>
  <si>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</si>
  <si>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</si>
  <si>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</si>
  <si>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</si>
  <si>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</si>
  <si>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</si>
  <si>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</si>
  <si>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</si>
  <si>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</si>
  <si>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</si>
  <si>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</si>
  <si>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</si>
  <si>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</si>
  <si>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</si>
  <si>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</si>
  <si>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</si>
  <si>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</si>
  <si>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</si>
  <si>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</si>
  <si>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</si>
  <si>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</si>
  <si>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</si>
  <si>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</si>
  <si>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</si>
  <si>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</si>
  <si>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</si>
  <si>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</si>
  <si>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</si>
  <si>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</si>
  <si>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</si>
  <si>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</si>
  <si>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</si>
  <si>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</si>
  <si>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</si>
  <si>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</si>
  <si>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</si>
  <si>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</si>
  <si>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</si>
  <si>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</si>
  <si>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</si>
  <si>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</si>
  <si>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</si>
  <si>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</si>
  <si>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</si>
  <si>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</si>
  <si>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</si>
  <si>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</si>
  <si>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</si>
  <si>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</si>
  <si>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</si>
  <si>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</si>
  <si>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</si>
  <si>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</si>
  <si>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</si>
  <si>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</si>
  <si>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</si>
  <si>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</si>
  <si>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</si>
  <si>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</si>
  <si>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</si>
  <si>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</si>
  <si>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</si>
  <si>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</si>
  <si>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</si>
  <si>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</si>
  <si>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</si>
  <si>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</si>
  <si>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</si>
  <si>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</si>
  <si>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</si>
  <si>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</si>
  <si>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</si>
  <si>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</si>
  <si>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</si>
  <si>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</si>
  <si>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</si>
  <si>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</si>
  <si>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</si>
  <si>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</si>
  <si>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</si>
  <si>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</si>
  <si>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</si>
  <si>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</si>
  <si>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</si>
  <si>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</si>
  <si>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</si>
  <si>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</si>
  <si>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</si>
  <si>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</si>
  <si>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</si>
  <si>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</si>
  <si>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</si>
  <si>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</si>
  <si>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</si>
  <si>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</si>
  <si>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</si>
  <si>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</si>
  <si>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</si>
  <si>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</si>
  <si>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</si>
  <si>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</si>
  <si>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</si>
  <si>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</si>
  <si>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</si>
  <si>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</si>
  <si>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</si>
  <si>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</si>
  <si>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</si>
  <si>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</si>
  <si>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</si>
  <si>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</si>
  <si>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</si>
  <si>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</si>
  <si>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</si>
  <si>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</si>
  <si>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</si>
  <si>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</si>
  <si>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</si>
  <si>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</si>
  <si>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</si>
  <si>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</si>
  <si>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</si>
  <si>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</si>
  <si>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</si>
  <si>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</si>
  <si>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</si>
  <si>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</si>
  <si>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</si>
  <si>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</si>
  <si>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</si>
  <si>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</si>
  <si>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</si>
  <si>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</si>
  <si>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</si>
  <si>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</si>
  <si>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</si>
  <si>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</si>
  <si>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</si>
  <si>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</si>
  <si>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</si>
  <si>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</si>
  <si>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</si>
  <si>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</si>
  <si>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</si>
  <si>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</si>
  <si>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</si>
  <si>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</si>
  <si>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</si>
  <si>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</si>
  <si>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</si>
  <si>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</si>
  <si>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</si>
  <si>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</si>
  <si>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</si>
  <si>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</si>
  <si>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</si>
  <si>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</si>
  <si>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</si>
  <si>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</si>
  <si>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</si>
  <si>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</si>
  <si>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</si>
  <si>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</si>
  <si>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</si>
  <si>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</si>
  <si>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</si>
  <si>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</si>
  <si>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</si>
  <si>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</si>
  <si>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</si>
  <si>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</si>
  <si>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</si>
  <si>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</si>
  <si>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</si>
  <si>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</si>
  <si>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</si>
  <si>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</si>
  <si>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</si>
  <si>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</si>
  <si>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</si>
  <si>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</si>
  <si>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</si>
  <si>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</si>
  <si>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</si>
  <si>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</si>
  <si>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</si>
  <si>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</si>
  <si>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</si>
  <si>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</si>
  <si>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</si>
  <si>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</si>
  <si>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</si>
  <si>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</si>
  <si>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</si>
  <si>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</si>
  <si>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</si>
  <si>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</si>
  <si>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</si>
  <si>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</si>
  <si>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</si>
  <si>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</si>
  <si>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</si>
  <si>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</si>
  <si>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</si>
  <si>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</si>
  <si>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</si>
  <si>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</si>
  <si>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</si>
  <si>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</si>
  <si>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</si>
  <si>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</si>
  <si>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</si>
  <si>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</si>
  <si>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</si>
  <si>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</si>
  <si>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</si>
  <si>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</si>
  <si>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</si>
  <si>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</si>
  <si>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</si>
  <si>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</si>
  <si>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</si>
  <si>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</si>
  <si>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</si>
  <si>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</si>
  <si>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</si>
  <si>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</si>
  <si>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</si>
  <si>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</si>
  <si>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</si>
  <si>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</si>
  <si>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</si>
  <si>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</si>
  <si>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</si>
  <si>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</si>
  <si>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</si>
  <si>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</si>
  <si>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</si>
  <si>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</si>
  <si>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</si>
  <si>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</si>
  <si>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</si>
  <si>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</si>
  <si>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</si>
  <si>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</si>
  <si>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</si>
  <si>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</si>
  <si>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</si>
  <si>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</si>
  <si>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</si>
  <si>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</si>
  <si>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</si>
  <si>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</si>
  <si>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</si>
  <si>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</si>
  <si>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</si>
  <si>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</si>
  <si>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</si>
  <si>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</si>
  <si>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</si>
  <si>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</si>
  <si>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</si>
  <si>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</si>
  <si>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</si>
  <si>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</si>
  <si>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</si>
  <si>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</si>
  <si>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</si>
  <si>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</si>
  <si>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</si>
  <si>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</si>
  <si>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</si>
  <si>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</si>
  <si>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</si>
  <si>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</si>
  <si>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</si>
  <si>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</si>
  <si>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</si>
  <si>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</si>
  <si>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</si>
  <si>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</si>
  <si>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</si>
  <si>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</si>
  <si>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</si>
  <si>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</si>
  <si>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</si>
  <si>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</si>
  <si>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</si>
  <si>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</si>
  <si>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</si>
  <si>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</si>
  <si>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</si>
  <si>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</si>
  <si>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</si>
  <si>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</si>
  <si>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</si>
  <si>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</si>
  <si>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</si>
  <si>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</si>
  <si>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</si>
  <si>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</si>
  <si>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</si>
  <si>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</si>
  <si>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</si>
  <si>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</si>
  <si>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</si>
  <si>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</si>
  <si>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</si>
  <si>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</si>
  <si>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</si>
  <si>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</si>
  <si>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</si>
  <si>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</si>
  <si>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</si>
  <si>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</si>
  <si>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</si>
  <si>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</si>
  <si>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</si>
  <si>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</si>
  <si>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</si>
  <si>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</si>
  <si>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</si>
  <si>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</si>
  <si>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</si>
  <si>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</si>
  <si>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</si>
  <si>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</si>
  <si>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</si>
  <si>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</si>
  <si>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</si>
  <si>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</si>
  <si>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</si>
  <si>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</si>
  <si>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</si>
  <si>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</si>
  <si>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</si>
  <si>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</si>
  <si>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</si>
  <si>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</si>
  <si>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</si>
  <si>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</si>
  <si>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</si>
  <si>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</si>
  <si>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</si>
  <si>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</si>
  <si>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</si>
  <si>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</si>
  <si>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</si>
  <si>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</si>
  <si>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</si>
  <si>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</si>
  <si>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</si>
  <si>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</si>
  <si>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</si>
  <si>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</si>
  <si>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</si>
  <si>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</si>
  <si>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</si>
  <si>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</si>
  <si>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</si>
  <si>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</si>
  <si>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</si>
  <si>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</si>
  <si>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</si>
  <si>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</si>
  <si>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</si>
  <si>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</si>
  <si>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</si>
  <si>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</si>
  <si>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</si>
  <si>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</si>
  <si>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</si>
  <si>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</si>
  <si>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</si>
  <si>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</si>
  <si>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</si>
  <si>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</si>
  <si>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</si>
  <si>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</si>
  <si>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</si>
  <si>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</si>
  <si>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</si>
  <si>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</si>
  <si>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</si>
  <si>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</si>
  <si>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</si>
  <si>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</si>
  <si>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</si>
  <si>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</si>
  <si>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</si>
  <si>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</si>
  <si>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</si>
  <si>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</si>
  <si>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</si>
  <si>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</si>
  <si>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</si>
  <si>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</si>
  <si>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</si>
  <si>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</si>
  <si>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</si>
  <si>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</si>
  <si>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</si>
  <si>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</si>
  <si>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</si>
  <si>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</si>
  <si>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</si>
  <si>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</si>
  <si>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</si>
  <si>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</si>
  <si>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</si>
  <si>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</si>
  <si>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</si>
  <si>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</si>
  <si>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</si>
  <si>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</si>
  <si>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</si>
  <si>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</si>
  <si>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</si>
  <si>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</si>
  <si>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</si>
  <si>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</si>
  <si>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</si>
  <si>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</si>
  <si>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</si>
  <si>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</si>
  <si>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</si>
  <si>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</si>
  <si>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</si>
  <si>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</si>
  <si>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</si>
  <si>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</si>
  <si>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</si>
  <si>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</si>
  <si>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</si>
  <si>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</si>
  <si>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</si>
  <si>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</si>
  <si>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</si>
  <si>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</si>
  <si>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</si>
  <si>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</si>
  <si>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</si>
  <si>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</si>
  <si>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</si>
  <si>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</si>
  <si>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</si>
  <si>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</si>
  <si>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</si>
  <si>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</si>
  <si>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</si>
  <si>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</si>
  <si>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</si>
  <si>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</si>
  <si>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</si>
  <si>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</si>
  <si>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</si>
  <si>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</si>
  <si>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</si>
  <si>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</si>
  <si>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</si>
  <si>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</si>
  <si>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</si>
  <si>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</si>
  <si>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</si>
  <si>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</si>
  <si>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</si>
  <si>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</si>
  <si>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</si>
  <si>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</si>
  <si>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</si>
  <si>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</si>
  <si>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</si>
  <si>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</si>
  <si>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</si>
  <si>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</si>
  <si>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</si>
  <si>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</si>
  <si>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</si>
  <si>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</si>
  <si>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</si>
  <si>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</si>
  <si>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</si>
  <si>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</si>
  <si>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</si>
  <si>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</si>
  <si>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</si>
  <si>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</si>
  <si>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</si>
  <si>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</si>
  <si>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</si>
  <si>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</si>
  <si>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</si>
  <si>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</si>
  <si>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</si>
  <si>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</si>
  <si>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</si>
  <si>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</si>
  <si>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</si>
  <si>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</si>
  <si>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</si>
  <si>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</si>
  <si>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</si>
  <si>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</si>
  <si>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</si>
  <si>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</si>
  <si>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</si>
  <si>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</si>
  <si>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</si>
  <si>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</si>
  <si>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</si>
  <si>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</si>
  <si>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</si>
  <si>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</si>
  <si>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</si>
  <si>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</si>
  <si>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</si>
  <si>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</si>
  <si>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</si>
  <si>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</si>
  <si>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</si>
  <si>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</si>
  <si>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</si>
  <si>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</si>
  <si>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</si>
  <si>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</si>
  <si>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</si>
  <si>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</si>
  <si>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</si>
  <si>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</si>
  <si>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</si>
  <si>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</si>
  <si>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</si>
  <si>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</si>
  <si>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</si>
  <si>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</si>
  <si>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</si>
  <si>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</si>
  <si>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</si>
  <si>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</si>
  <si>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</si>
  <si>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</si>
  <si>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</si>
  <si>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</si>
  <si>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</si>
  <si>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</si>
  <si>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</si>
  <si>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</si>
  <si>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</si>
  <si>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</si>
  <si>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</si>
  <si>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</si>
  <si>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</si>
  <si>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</si>
  <si>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</si>
  <si>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</si>
  <si>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</si>
  <si>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</si>
  <si>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</si>
  <si>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</si>
  <si>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</si>
  <si>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</si>
  <si>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</si>
  <si>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</si>
  <si>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</si>
  <si>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</si>
  <si>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</si>
  <si>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</si>
  <si>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</si>
  <si>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</si>
  <si>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</si>
  <si>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</si>
  <si>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</si>
  <si>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</si>
  <si>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</si>
  <si>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</si>
  <si>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</si>
  <si>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</si>
  <si>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</si>
  <si>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</si>
  <si>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</si>
  <si>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</si>
  <si>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</si>
  <si>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</si>
  <si>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</si>
  <si>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</si>
  <si>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</si>
  <si>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</si>
  <si>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</si>
  <si>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</si>
  <si>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</si>
  <si>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</si>
  <si>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</si>
  <si>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</si>
  <si>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</si>
  <si>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</si>
  <si>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</si>
  <si>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</si>
  <si>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</si>
  <si>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</si>
  <si>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</si>
  <si>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</si>
  <si>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</si>
  <si>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</si>
  <si>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</si>
  <si>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</si>
  <si>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</si>
  <si>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</si>
  <si>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</si>
  <si>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</si>
  <si>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</si>
  <si>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</si>
  <si>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</si>
  <si>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</si>
  <si>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</si>
  <si>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</si>
  <si>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</si>
  <si>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</si>
  <si>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</si>
  <si>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</si>
  <si>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</si>
  <si>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</si>
  <si>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</si>
  <si>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</si>
  <si>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</si>
  <si>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</si>
  <si>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</si>
  <si>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</si>
  <si>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</si>
  <si>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</si>
  <si>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</si>
  <si>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</si>
  <si>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</si>
  <si>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</si>
  <si>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</si>
  <si>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</si>
  <si>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</si>
  <si>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</si>
  <si>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</si>
  <si>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</si>
  <si>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</si>
  <si>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</si>
  <si>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</si>
  <si>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</si>
  <si>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</si>
  <si>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</si>
  <si>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</si>
  <si>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</si>
  <si>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</si>
  <si>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</si>
  <si>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</si>
  <si>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</si>
  <si>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</si>
  <si>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</si>
  <si>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</si>
  <si>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</si>
  <si>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</si>
  <si>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</si>
  <si>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</si>
  <si>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</si>
  <si>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</si>
  <si>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</si>
  <si>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</si>
  <si>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</si>
  <si>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</si>
  <si>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</si>
  <si>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</si>
  <si>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</si>
  <si>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</si>
  <si>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</si>
  <si>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</si>
  <si>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</si>
  <si>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</si>
  <si>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</si>
  <si>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</si>
  <si>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</si>
  <si>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</si>
  <si>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</si>
  <si>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</si>
  <si>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</si>
  <si>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</si>
  <si>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</si>
  <si>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</si>
  <si>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</si>
  <si>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</si>
  <si>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</si>
  <si>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</si>
  <si>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</si>
  <si>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</si>
  <si>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</si>
  <si>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</si>
  <si>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</si>
  <si>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</si>
  <si>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</si>
  <si>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</si>
  <si>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</si>
  <si>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</si>
  <si>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</si>
  <si>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</si>
  <si>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</si>
  <si>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</si>
  <si>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</si>
  <si>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</si>
  <si>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</si>
  <si>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</si>
  <si>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</si>
  <si>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</si>
  <si>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</si>
  <si>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</si>
  <si>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</si>
  <si>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</si>
  <si>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</si>
  <si>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</si>
  <si>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</si>
  <si>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</si>
  <si>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</si>
  <si>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</si>
  <si>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</si>
  <si>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</si>
  <si>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</si>
  <si>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</si>
  <si>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</si>
  <si>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</si>
  <si>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</si>
  <si>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</si>
  <si>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</si>
  <si>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</si>
  <si>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</si>
  <si>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</si>
  <si>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</si>
  <si>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</si>
  <si>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</si>
  <si>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</si>
  <si>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</si>
  <si>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</si>
  <si>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</si>
  <si>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</si>
  <si>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</si>
  <si>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</si>
  <si>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</si>
  <si>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</si>
  <si>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</si>
  <si>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</si>
  <si>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</si>
  <si>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</si>
  <si>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</si>
  <si>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</si>
  <si>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</si>
  <si>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</si>
  <si>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</si>
  <si>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</si>
  <si>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</si>
  <si>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</si>
  <si>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</si>
  <si>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</si>
  <si>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</si>
  <si>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</si>
  <si>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</si>
  <si>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</si>
  <si>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</si>
  <si>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</si>
  <si>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</si>
  <si>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</si>
  <si>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</si>
  <si>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</si>
  <si>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</si>
  <si>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</si>
  <si>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</si>
  <si>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</si>
  <si>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</si>
  <si>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</si>
  <si>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</si>
  <si>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</si>
  <si>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</si>
  <si>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</si>
  <si>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</si>
  <si>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</si>
  <si>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</si>
  <si>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</si>
  <si>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</si>
  <si>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</si>
  <si>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</si>
  <si>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</si>
  <si>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</si>
  <si>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</si>
  <si>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</si>
  <si>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</si>
  <si>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</si>
  <si>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</si>
  <si>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</si>
  <si>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</si>
  <si>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</si>
  <si>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</si>
  <si>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</si>
  <si>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</si>
  <si>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</si>
  <si>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</si>
  <si>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</si>
  <si>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</si>
  <si>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</si>
  <si>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</si>
  <si>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</si>
  <si>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</si>
  <si>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</si>
  <si>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</si>
  <si>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</si>
  <si>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</si>
  <si>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</si>
  <si>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</si>
  <si>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</si>
  <si>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</si>
  <si>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</si>
  <si>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</si>
  <si>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</si>
  <si>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</si>
  <si>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</si>
  <si>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</si>
  <si>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</si>
  <si>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</si>
  <si>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</si>
  <si>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</si>
  <si>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</si>
  <si>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</si>
  <si>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</si>
  <si>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</si>
  <si>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</si>
  <si>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</si>
  <si>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</si>
  <si>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</si>
  <si>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</si>
  <si>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</si>
  <si>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</si>
  <si>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</si>
  <si>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</si>
  <si>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</si>
  <si>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</si>
  <si>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</si>
  <si>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</si>
  <si>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</si>
  <si>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</si>
  <si>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</si>
  <si>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</si>
  <si>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</si>
  <si>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</si>
  <si>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</si>
  <si>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</si>
  <si>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</si>
  <si>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</si>
  <si>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</si>
  <si>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</si>
  <si>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</si>
  <si>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</si>
  <si>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</si>
  <si>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</si>
  <si>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</si>
  <si>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</si>
  <si>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</si>
  <si>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</si>
  <si>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</si>
  <si>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</si>
  <si>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</si>
  <si>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</si>
  <si>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</si>
  <si>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</si>
  <si>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</si>
  <si>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</si>
  <si>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</si>
  <si>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</si>
  <si>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</si>
  <si>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</si>
  <si>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</si>
  <si>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</si>
  <si>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</si>
  <si>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</si>
  <si>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</si>
  <si>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</si>
  <si>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</si>
  <si>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</si>
  <si>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</si>
  <si>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</si>
  <si>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</si>
  <si>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</si>
  <si>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</si>
  <si>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</si>
  <si>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</si>
  <si>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</si>
  <si>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</si>
  <si>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</si>
  <si>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</si>
  <si>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</si>
  <si>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</si>
  <si>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</si>
  <si>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</si>
  <si>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</si>
  <si>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</si>
  <si>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</si>
  <si>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</si>
  <si>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</si>
  <si>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</si>
  <si>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</si>
  <si>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</si>
  <si>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</si>
  <si>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</si>
  <si>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</si>
  <si>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</si>
  <si>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</si>
  <si>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</si>
  <si>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</si>
  <si>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</si>
  <si>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</si>
  <si>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</si>
  <si>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</si>
  <si>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</si>
  <si>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</si>
  <si>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</si>
  <si>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</si>
  <si>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</si>
  <si>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</si>
  <si>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</si>
  <si>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</si>
  <si>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</si>
  <si>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</si>
  <si>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</si>
  <si>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</si>
  <si>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</si>
  <si>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</si>
  <si>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</si>
  <si>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</si>
  <si>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</si>
  <si>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</si>
  <si>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</si>
  <si>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</si>
  <si>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</si>
  <si>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</si>
  <si>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</si>
  <si>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</si>
  <si>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</si>
  <si>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</si>
  <si>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</si>
  <si>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</si>
  <si>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</si>
  <si>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</si>
  <si>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</si>
  <si>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</si>
  <si>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</si>
  <si>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</si>
  <si>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</si>
  <si>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</si>
  <si>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</si>
  <si>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</si>
  <si>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</si>
  <si>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</si>
  <si>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</si>
  <si>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</si>
  <si>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</si>
  <si>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</si>
  <si>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</si>
  <si>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</si>
  <si>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</si>
  <si>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</si>
  <si>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</si>
  <si>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</si>
  <si>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</si>
  <si>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</si>
  <si>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</si>
  <si>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</si>
  <si>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</si>
  <si>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</si>
  <si>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</si>
  <si>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</si>
  <si>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</si>
  <si>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</si>
  <si>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</si>
  <si>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</si>
  <si>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</si>
  <si>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</si>
  <si>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</si>
  <si>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</si>
  <si>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</si>
  <si>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</si>
  <si>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</si>
  <si>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</si>
  <si>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</si>
  <si>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</si>
  <si>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</si>
  <si>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</si>
  <si>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</si>
  <si>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</si>
  <si>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</si>
  <si>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</si>
  <si>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</si>
  <si>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</si>
  <si>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</si>
  <si>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</si>
  <si>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</si>
  <si>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</si>
  <si>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</si>
  <si>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</si>
  <si>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</si>
  <si>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</si>
  <si>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</si>
  <si>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</si>
  <si>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</si>
  <si>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</si>
  <si>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</si>
  <si>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</si>
  <si>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</si>
  <si>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</si>
  <si>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</si>
  <si>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</si>
  <si>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</si>
  <si>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</si>
  <si>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</si>
  <si>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</si>
  <si>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</si>
  <si>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</si>
  <si>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</si>
  <si>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</si>
  <si>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</si>
  <si>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</si>
  <si>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</si>
  <si>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</si>
  <si>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</si>
  <si>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</si>
  <si>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</si>
  <si>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</si>
  <si>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</si>
  <si>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</si>
  <si>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</si>
  <si>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</si>
  <si>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</si>
  <si>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</si>
  <si>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</si>
  <si>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</si>
  <si>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</si>
  <si>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</si>
  <si>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</si>
  <si>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</si>
  <si>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</si>
  <si>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</si>
  <si>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</si>
  <si>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</si>
  <si>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</si>
  <si>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</si>
  <si>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</si>
  <si>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</si>
  <si>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</si>
  <si>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</si>
  <si>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</si>
  <si>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</si>
  <si>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</si>
  <si>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</si>
  <si>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</si>
  <si>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</si>
  <si>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</si>
  <si>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</si>
  <si>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</si>
  <si>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</si>
  <si>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</si>
  <si>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</si>
  <si>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</si>
  <si>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</si>
  <si>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</si>
  <si>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</si>
  <si>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</si>
  <si>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</si>
  <si>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</si>
  <si>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</si>
  <si>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</si>
  <si>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</si>
  <si>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</si>
  <si>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</si>
  <si>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</si>
  <si>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</si>
  <si>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</si>
  <si>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</si>
  <si>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</si>
  <si>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</si>
  <si>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</si>
  <si>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</si>
  <si>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</si>
  <si>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</si>
  <si>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</si>
  <si>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</si>
  <si>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</si>
  <si>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</si>
  <si>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</si>
  <si>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</si>
  <si>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</si>
  <si>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</si>
  <si>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</si>
  <si>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</si>
  <si>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</si>
  <si>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</si>
  <si>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</si>
  <si>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</si>
  <si>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</si>
  <si>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</si>
  <si>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</si>
  <si>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</si>
  <si>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</si>
  <si>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</si>
  <si>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</si>
  <si>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</si>
  <si>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</si>
  <si>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</si>
  <si>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</si>
  <si>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</si>
  <si>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</si>
  <si>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</si>
  <si>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</si>
  <si>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</si>
  <si>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</si>
  <si>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</si>
  <si>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</si>
  <si>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</si>
  <si>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</si>
  <si>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</si>
  <si>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</si>
  <si>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</si>
  <si>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</si>
  <si>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</si>
  <si>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</si>
  <si>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</si>
  <si>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</si>
  <si>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</si>
  <si>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</si>
  <si>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</si>
  <si>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</si>
  <si>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</si>
  <si>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</si>
  <si>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</si>
  <si>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</si>
  <si>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</si>
  <si>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</si>
  <si>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</si>
  <si>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</si>
  <si>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</si>
  <si>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</si>
  <si>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</si>
  <si>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</si>
  <si>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</si>
  <si>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</si>
  <si>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</si>
  <si>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</si>
  <si>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</si>
  <si>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</si>
  <si>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</si>
  <si>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</si>
  <si>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</si>
  <si>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</si>
  <si>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</si>
  <si>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</si>
  <si>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</si>
  <si>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</si>
  <si>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</si>
  <si>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</si>
  <si>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</si>
  <si>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</si>
  <si>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</si>
  <si>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</si>
  <si>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</si>
  <si>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</si>
  <si>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</si>
  <si>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</si>
  <si>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</si>
  <si>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</si>
  <si>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</si>
  <si>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</si>
  <si>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</si>
  <si>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</si>
  <si>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</si>
  <si>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</si>
  <si>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</si>
  <si>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</si>
  <si>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</si>
  <si>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</si>
  <si>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</si>
  <si>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</si>
  <si>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</si>
  <si>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</si>
  <si>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</si>
  <si>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</si>
  <si>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</si>
  <si>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</si>
  <si>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</si>
  <si>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</si>
  <si>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</si>
  <si>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</si>
  <si>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</si>
  <si>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</si>
  <si>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</si>
  <si>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</si>
  <si>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</si>
  <si>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</si>
  <si>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</si>
  <si>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</si>
  <si>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</si>
  <si>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</si>
  <si>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</si>
  <si>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</si>
  <si>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</si>
  <si>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</si>
  <si>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</si>
  <si>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</si>
  <si>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</si>
  <si>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</si>
  <si>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</si>
  <si>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</si>
  <si>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</si>
  <si>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</si>
  <si>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</si>
  <si>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</si>
  <si>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</si>
  <si>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</si>
  <si>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</si>
  <si>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</si>
  <si>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</si>
  <si>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</si>
  <si>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</si>
  <si>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</si>
  <si>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</si>
  <si>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</si>
  <si>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</si>
  <si>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</si>
  <si>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</si>
  <si>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</si>
  <si>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</si>
  <si>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</si>
  <si>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</si>
  <si>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</si>
  <si>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</si>
  <si>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</si>
  <si>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</si>
  <si>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</si>
  <si>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</si>
  <si>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</si>
  <si>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</si>
  <si>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</si>
  <si>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</si>
  <si>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</si>
  <si>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</si>
  <si>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</si>
  <si>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</si>
  <si>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</si>
  <si>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</si>
  <si>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</si>
  <si>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</si>
  <si>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</si>
  <si>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</si>
  <si>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</si>
  <si>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</si>
  <si>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</si>
  <si>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</si>
  <si>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</si>
  <si>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</si>
  <si>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</si>
  <si>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</si>
  <si>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</si>
  <si>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</si>
  <si>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</si>
  <si>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</si>
  <si>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</si>
  <si>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</si>
  <si>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</si>
  <si>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</si>
  <si>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</si>
  <si>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</si>
  <si>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</si>
  <si>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</si>
  <si>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</si>
  <si>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</si>
  <si>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</si>
  <si>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</si>
  <si>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</si>
  <si>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</si>
  <si>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</si>
  <si>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</si>
  <si>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</si>
  <si>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</si>
  <si>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</si>
  <si>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</si>
  <si>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</si>
  <si>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</si>
  <si>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</si>
  <si>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</si>
  <si>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</si>
  <si>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</si>
  <si>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</si>
  <si>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</si>
  <si>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</si>
  <si>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</si>
  <si>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</si>
  <si>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</si>
  <si>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</si>
  <si>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</si>
  <si>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</si>
  <si>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</si>
  <si>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</si>
  <si>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</si>
  <si>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</si>
  <si>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</si>
  <si>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</si>
  <si>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</si>
  <si>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</si>
  <si>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</si>
  <si>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</si>
  <si>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</si>
  <si>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</si>
  <si>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</si>
  <si>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</si>
  <si>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</si>
  <si>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</si>
  <si>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</si>
  <si>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</si>
  <si>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</si>
  <si>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</si>
  <si>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</si>
  <si>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</si>
  <si>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</si>
  <si>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</si>
  <si>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</si>
  <si>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</si>
  <si>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</si>
  <si>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</si>
  <si>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</si>
  <si>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</si>
  <si>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</si>
  <si>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</si>
  <si>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</si>
  <si>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</si>
  <si>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</si>
  <si>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</si>
  <si>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</si>
  <si>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</si>
  <si>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</si>
  <si>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</si>
  <si>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</si>
  <si>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</si>
  <si>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</si>
  <si>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</si>
  <si>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</si>
  <si>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</si>
  <si>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</si>
  <si>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</si>
  <si>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</si>
  <si>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</si>
  <si>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</si>
  <si>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</si>
  <si>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</si>
  <si>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</si>
  <si>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</si>
  <si>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</si>
  <si>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</si>
  <si>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</si>
  <si>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</si>
  <si>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</si>
  <si>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</si>
  <si>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</si>
  <si>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</si>
  <si>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</si>
  <si>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</si>
  <si>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</si>
  <si>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</si>
  <si>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</si>
  <si>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</si>
  <si>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</si>
  <si>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</si>
  <si>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</si>
  <si>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</si>
  <si>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</si>
  <si>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</si>
  <si>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</si>
  <si>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</si>
  <si>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</si>
  <si>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</si>
  <si>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</si>
  <si>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</si>
  <si>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</si>
  <si>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</si>
  <si>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</si>
  <si>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</si>
  <si>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</si>
  <si>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</si>
  <si>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</si>
  <si>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</si>
  <si>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</si>
  <si>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</si>
  <si>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</si>
  <si>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</si>
  <si>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</si>
  <si>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</si>
  <si>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</si>
  <si>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</si>
  <si>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</si>
  <si>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</si>
  <si>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</si>
  <si>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</si>
  <si>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</si>
  <si>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</si>
  <si>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</si>
  <si>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</si>
  <si>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</si>
  <si>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</si>
  <si>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</si>
  <si>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</si>
  <si>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</si>
  <si>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</si>
  <si>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</si>
  <si>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</si>
  <si>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</si>
  <si>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</si>
  <si>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</si>
  <si>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</si>
  <si>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</si>
  <si>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</si>
  <si>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</si>
  <si>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</si>
  <si>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</si>
  <si>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</si>
  <si>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</si>
  <si>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</si>
  <si>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</si>
  <si>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</si>
  <si>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</si>
  <si>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</si>
  <si>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</si>
  <si>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</si>
  <si>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</si>
  <si>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</si>
  <si>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</si>
  <si>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</si>
  <si>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</si>
  <si>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</si>
  <si>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</si>
  <si>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</si>
  <si>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</si>
  <si>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</si>
  <si>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</si>
  <si>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</si>
  <si>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</si>
  <si>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</si>
  <si>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</si>
  <si>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</si>
  <si>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</si>
  <si>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</si>
  <si>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</si>
  <si>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</si>
  <si>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</si>
  <si>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</si>
  <si>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</si>
  <si>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</si>
  <si>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</si>
  <si>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</si>
  <si>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</si>
  <si>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</si>
  <si>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</si>
  <si>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</si>
  <si>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</si>
  <si>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</si>
  <si>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</si>
  <si>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</si>
  <si>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</si>
  <si>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</si>
  <si>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</si>
  <si>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</si>
  <si>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</si>
  <si>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</si>
  <si>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</si>
  <si>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</si>
  <si>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</si>
  <si>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</si>
  <si>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</si>
  <si>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</si>
  <si>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</si>
  <si>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</si>
  <si>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</si>
  <si>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</si>
  <si>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</si>
  <si>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</si>
  <si>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</si>
  <si>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</si>
  <si>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</si>
  <si>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</si>
  <si>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</si>
  <si>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</si>
  <si>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</si>
  <si>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</si>
  <si>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</si>
  <si>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</si>
  <si>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</si>
  <si>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</si>
  <si>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</si>
  <si>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</si>
  <si>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</si>
  <si>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</si>
  <si>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</si>
  <si>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</si>
  <si>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</si>
  <si>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</si>
  <si>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</si>
  <si>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</si>
  <si>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</si>
  <si>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</si>
  <si>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</si>
  <si>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</si>
  <si>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</si>
  <si>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</si>
  <si>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</si>
  <si>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</si>
  <si>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</si>
  <si>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</si>
  <si>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</si>
  <si>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</si>
  <si>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</si>
  <si>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</si>
  <si>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</si>
  <si>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</si>
  <si>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</si>
  <si>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</si>
  <si>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</si>
  <si>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</si>
  <si>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</si>
  <si>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</si>
  <si>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</si>
  <si>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</si>
  <si>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</si>
  <si>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</si>
  <si>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</si>
  <si>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</si>
  <si>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</si>
  <si>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</si>
  <si>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</si>
  <si>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</si>
  <si>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</si>
  <si>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</si>
  <si>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</si>
  <si>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</si>
  <si>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</si>
  <si>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</si>
  <si>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</si>
  <si>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</si>
  <si>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</si>
  <si>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</si>
  <si>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</si>
  <si>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</si>
  <si>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</si>
  <si>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</si>
  <si>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</si>
  <si>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</si>
  <si>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</si>
  <si>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</si>
  <si>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</si>
  <si>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</si>
  <si>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</si>
  <si>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</si>
  <si>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</si>
  <si>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</si>
  <si>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</si>
  <si>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</si>
  <si>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</si>
  <si>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</si>
  <si>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</si>
  <si>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</si>
  <si>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</si>
  <si>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</si>
  <si>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</si>
  <si>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</si>
  <si>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</si>
  <si>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</si>
  <si>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</si>
  <si>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</si>
  <si>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</si>
  <si>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</si>
  <si>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</si>
  <si>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</si>
  <si>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</si>
  <si>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</si>
  <si>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</si>
  <si>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</si>
  <si>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</si>
  <si>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</si>
  <si>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</si>
  <si>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</si>
  <si>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</si>
  <si>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</si>
  <si>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</si>
  <si>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</si>
  <si>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</si>
  <si>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</si>
  <si>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</si>
  <si>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</si>
  <si>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</si>
  <si>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</si>
  <si>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</si>
  <si>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</si>
  <si>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</si>
  <si>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</si>
  <si>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</si>
  <si>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</si>
  <si>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</si>
  <si>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</si>
  <si>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</si>
  <si>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</si>
  <si>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</si>
  <si>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</si>
  <si>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</si>
  <si>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</si>
  <si>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</si>
  <si>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</si>
  <si>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</si>
  <si>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</si>
  <si>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</si>
  <si>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</si>
  <si>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</si>
  <si>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</si>
  <si>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</si>
  <si>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</si>
  <si>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</si>
  <si>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</si>
  <si>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</si>
  <si>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</si>
  <si>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</si>
  <si>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</si>
  <si>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</si>
  <si>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</si>
  <si>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</si>
  <si>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</si>
  <si>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</si>
  <si>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</si>
  <si>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</si>
  <si>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</si>
  <si>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</si>
  <si>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</si>
  <si>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</si>
  <si>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</si>
  <si>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</si>
  <si>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</si>
  <si>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</si>
  <si>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</si>
  <si>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</si>
  <si>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</si>
  <si>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</si>
  <si>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</si>
  <si>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</si>
  <si>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</si>
  <si>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</si>
  <si>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</si>
  <si>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</si>
  <si>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</si>
  <si>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</si>
  <si>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</si>
  <si>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</si>
  <si>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</si>
  <si>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</si>
  <si>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</si>
  <si>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</si>
  <si>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</si>
  <si>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</si>
  <si>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</si>
  <si>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</si>
  <si>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</si>
  <si>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</si>
  <si>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</si>
  <si>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</si>
  <si>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</si>
  <si>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</si>
  <si>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</si>
  <si>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</si>
  <si>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</si>
  <si>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</si>
  <si>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</si>
  <si>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</si>
  <si>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</si>
  <si>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</si>
  <si>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</si>
  <si>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</si>
  <si>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</si>
  <si>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</si>
  <si>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</si>
  <si>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</si>
  <si>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</si>
  <si>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</si>
  <si>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</si>
  <si>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</si>
  <si>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</si>
  <si>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</si>
  <si>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</si>
  <si>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</si>
  <si>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</si>
  <si>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</si>
  <si>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</si>
  <si>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</si>
  <si>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</si>
  <si>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</si>
  <si>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</si>
  <si>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</si>
  <si>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</si>
  <si>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</si>
  <si>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</si>
  <si>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</si>
  <si>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</si>
  <si>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</si>
  <si>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</si>
  <si>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</si>
  <si>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</si>
  <si>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</si>
  <si>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</si>
  <si>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</si>
  <si>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</si>
  <si>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</si>
  <si>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</si>
  <si>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</si>
  <si>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</si>
  <si>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</si>
  <si>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</si>
  <si>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</si>
  <si>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</si>
  <si>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</si>
  <si>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</si>
  <si>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</si>
  <si>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</si>
  <si>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</si>
  <si>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</si>
  <si>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</si>
  <si>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</si>
  <si>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</si>
  <si>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</si>
  <si>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</si>
  <si>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</si>
  <si>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</si>
  <si>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</si>
  <si>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</si>
  <si>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</si>
  <si>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</si>
  <si>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</si>
  <si>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</si>
  <si>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</si>
  <si>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</si>
  <si>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</si>
  <si>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</si>
  <si>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</si>
  <si>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</si>
  <si>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</si>
  <si>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</si>
  <si>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</si>
  <si>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</si>
  <si>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</si>
  <si>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</si>
  <si>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</si>
  <si>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</si>
  <si>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</si>
  <si>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</si>
  <si>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</si>
  <si>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</si>
  <si>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</si>
  <si>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</si>
  <si>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</si>
  <si>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</si>
  <si>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</si>
  <si>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</si>
  <si>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</si>
  <si>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</si>
  <si>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</si>
  <si>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</si>
  <si>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</si>
  <si>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</si>
  <si>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</si>
  <si>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</si>
  <si>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</si>
  <si>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</si>
  <si>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</si>
  <si>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</si>
  <si>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</si>
  <si>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</si>
  <si>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</si>
  <si>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</si>
  <si>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</si>
  <si>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</si>
  <si>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</si>
  <si>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</si>
  <si>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</si>
  <si>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</si>
  <si>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</si>
  <si>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</si>
  <si>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</si>
  <si>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</si>
  <si>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</si>
  <si>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</si>
  <si>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</si>
  <si>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</si>
  <si>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</si>
  <si>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</si>
  <si>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</si>
  <si>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</si>
  <si>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</si>
  <si>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</si>
  <si>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</si>
  <si>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</si>
  <si>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</si>
  <si>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</si>
  <si>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</si>
  <si>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</si>
  <si>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</si>
  <si>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</si>
  <si>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</si>
  <si>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</si>
  <si>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</si>
  <si>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</si>
  <si>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</si>
  <si>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</si>
  <si>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</si>
  <si>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</si>
  <si>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</si>
  <si>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</si>
  <si>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</si>
  <si>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</si>
  <si>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</si>
  <si>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</si>
  <si>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</si>
  <si>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</si>
  <si>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</si>
  <si>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</si>
  <si>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</si>
  <si>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</si>
  <si>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</si>
  <si>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</si>
  <si>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</si>
  <si>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</si>
  <si>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</si>
  <si>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</si>
  <si>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</si>
  <si>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</si>
  <si>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</si>
  <si>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</si>
  <si>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</si>
  <si>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</si>
  <si>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</si>
  <si>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</si>
  <si>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</si>
  <si>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</si>
  <si>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</si>
  <si>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</si>
  <si>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</si>
  <si>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</si>
  <si>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</si>
  <si>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</si>
  <si>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</si>
  <si>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</si>
  <si>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</si>
  <si>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</si>
  <si>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</si>
  <si>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</si>
  <si>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</si>
  <si>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</si>
  <si>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</si>
  <si>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</si>
  <si>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</si>
  <si>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</si>
  <si>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</si>
  <si>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</si>
  <si>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</si>
  <si>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</si>
  <si>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</si>
  <si>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</si>
  <si>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</si>
  <si>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</si>
  <si>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</si>
  <si>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</si>
  <si>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</si>
  <si>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</si>
  <si>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</si>
  <si>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</si>
  <si>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</si>
  <si>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</si>
  <si>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</si>
  <si>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</si>
  <si>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</si>
  <si>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</si>
  <si>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</si>
  <si>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</si>
  <si>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</si>
  <si>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</si>
  <si>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</si>
  <si>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</si>
  <si>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</si>
  <si>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</si>
  <si>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</si>
  <si>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</si>
  <si>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</si>
  <si>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</si>
  <si>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</si>
  <si>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</si>
  <si>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</si>
  <si>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</si>
  <si>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</si>
  <si>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</si>
  <si>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</si>
  <si>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</si>
  <si>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</si>
  <si>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</si>
  <si>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</si>
  <si>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</si>
  <si>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</si>
  <si>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</si>
  <si>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</si>
  <si>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</si>
  <si>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</si>
  <si>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</si>
  <si>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</si>
  <si>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</si>
  <si>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</si>
  <si>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</si>
  <si>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</si>
  <si>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</si>
  <si>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</si>
  <si>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</si>
  <si>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</si>
  <si>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</si>
  <si>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</si>
  <si>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</si>
  <si>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</si>
  <si>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</si>
  <si>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</si>
  <si>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</si>
  <si>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</si>
  <si>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</si>
  <si>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</si>
  <si>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</si>
  <si>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</si>
  <si>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</si>
  <si>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</si>
  <si>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</si>
  <si>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</si>
  <si>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</si>
  <si>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</si>
  <si>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</si>
  <si>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</si>
  <si>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</si>
  <si>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</si>
  <si>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</si>
  <si>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</si>
  <si>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</si>
  <si>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</si>
  <si>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</si>
  <si>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</si>
  <si>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</si>
  <si>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</si>
  <si>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</si>
  <si>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</si>
  <si>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</si>
  <si>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</si>
  <si>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</si>
  <si>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</si>
  <si>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</si>
  <si>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</si>
  <si>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</si>
  <si>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</si>
  <si>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</si>
  <si>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</si>
  <si>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</si>
  <si>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</si>
  <si>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</si>
  <si>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</si>
  <si>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</si>
  <si>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</si>
  <si>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</si>
  <si>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</si>
  <si>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</si>
  <si>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</si>
  <si>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</si>
  <si>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</si>
  <si>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</si>
  <si>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</si>
  <si>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</si>
  <si>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</si>
  <si>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</si>
  <si>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</si>
  <si>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</si>
  <si>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</si>
  <si>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</si>
  <si>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</si>
  <si>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</si>
  <si>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</si>
  <si>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</si>
  <si>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</si>
  <si>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</si>
  <si>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</si>
  <si>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</si>
  <si>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</si>
  <si>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</si>
  <si>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</si>
  <si>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</si>
  <si>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</si>
  <si>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</si>
  <si>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</si>
  <si>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</si>
  <si>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</si>
  <si>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</si>
  <si>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</si>
  <si>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</si>
  <si>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</si>
  <si>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</si>
  <si>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</si>
  <si>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</si>
  <si>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</si>
  <si>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</si>
  <si>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</si>
  <si>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</si>
  <si>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</si>
  <si>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</si>
  <si>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</si>
  <si>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</si>
  <si>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</si>
  <si>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</si>
  <si>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</si>
  <si>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</si>
  <si>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</si>
  <si>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</si>
  <si>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</si>
  <si>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</si>
  <si>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</si>
  <si>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</si>
  <si>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</si>
  <si>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</si>
  <si>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</si>
  <si>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</si>
  <si>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</si>
  <si>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</si>
  <si>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</si>
  <si>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</si>
  <si>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</si>
  <si>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</si>
  <si>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</si>
  <si>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</si>
  <si>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</si>
  <si>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</si>
  <si>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</si>
  <si>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</si>
  <si>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</si>
  <si>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</si>
  <si>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</si>
  <si>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</si>
  <si>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</si>
  <si>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</si>
  <si>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</si>
  <si>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</si>
  <si>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</si>
  <si>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</si>
  <si>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</si>
  <si>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</si>
  <si>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</si>
  <si>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</si>
  <si>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</si>
  <si>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</si>
  <si>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</si>
  <si>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</si>
  <si>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</si>
  <si>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</si>
  <si>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</si>
  <si>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</si>
  <si>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</si>
  <si>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</si>
  <si>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</si>
  <si>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</si>
  <si>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</si>
  <si>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</si>
  <si>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</si>
  <si>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</si>
  <si>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</si>
  <si>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</si>
  <si>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</si>
  <si>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</si>
  <si>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</si>
  <si>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</si>
  <si>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</si>
  <si>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</si>
  <si>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</si>
  <si>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</si>
  <si>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</si>
  <si>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</si>
  <si>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</si>
  <si>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</si>
  <si>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</si>
  <si>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</si>
  <si>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</si>
  <si>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</si>
  <si>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</si>
  <si>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</si>
  <si>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</si>
  <si>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</si>
  <si>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</si>
  <si>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</si>
  <si>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</si>
  <si>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</si>
  <si>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</si>
  <si>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</si>
  <si>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</si>
  <si>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</si>
  <si>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</si>
  <si>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</si>
  <si>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</si>
  <si>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</si>
  <si>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</si>
  <si>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</si>
  <si>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</si>
  <si>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</si>
  <si>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</si>
  <si>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</si>
  <si>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</si>
  <si>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</si>
  <si>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</si>
  <si>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</si>
  <si>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</si>
  <si>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</si>
  <si>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</si>
  <si>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</si>
  <si>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</si>
  <si>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</si>
  <si>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</si>
  <si>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</si>
  <si>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</si>
  <si>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</si>
  <si>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</si>
  <si>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</si>
  <si>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</si>
  <si>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</si>
  <si>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</si>
  <si>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</si>
  <si>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</si>
  <si>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</si>
  <si>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</si>
  <si>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</si>
  <si>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</si>
  <si>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</si>
  <si>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</si>
  <si>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</si>
  <si>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</si>
  <si>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</si>
  <si>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</si>
  <si>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</si>
  <si>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</si>
  <si>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</si>
  <si>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</si>
  <si>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</si>
  <si>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</si>
  <si>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</si>
  <si>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</si>
  <si>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</si>
  <si>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</si>
  <si>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</si>
  <si>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</si>
  <si>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</si>
  <si>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</si>
  <si>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</si>
  <si>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</si>
  <si>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</si>
  <si>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</si>
  <si>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</si>
  <si>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</si>
  <si>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</si>
  <si>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</si>
  <si>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</si>
  <si>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</si>
  <si>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</si>
  <si>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</si>
  <si>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</si>
  <si>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</si>
  <si>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</si>
  <si>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</si>
  <si>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</si>
  <si>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</si>
  <si>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</si>
  <si>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</si>
  <si>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</si>
  <si>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</si>
  <si>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</si>
  <si>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</si>
  <si>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</si>
  <si>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</si>
  <si>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</si>
  <si>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</si>
  <si>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</si>
  <si>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</si>
  <si>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</si>
  <si>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</si>
  <si>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</si>
  <si>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</si>
  <si>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</si>
  <si>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</si>
  <si>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</si>
  <si>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</si>
  <si>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</si>
  <si>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</si>
  <si>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</si>
  <si>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</si>
  <si>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</si>
  <si>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</si>
  <si>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</si>
  <si>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</si>
  <si>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</si>
  <si>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</si>
  <si>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</si>
  <si>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</si>
  <si>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</si>
  <si>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</si>
  <si>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</si>
  <si>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</si>
  <si>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</si>
  <si>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</si>
  <si>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</si>
  <si>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</si>
  <si>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</si>
  <si>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</si>
  <si>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</si>
  <si>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</si>
  <si>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</si>
  <si>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</si>
  <si>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</si>
  <si>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</si>
  <si>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</si>
  <si>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</si>
  <si>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</si>
  <si>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</si>
  <si>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</si>
  <si>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</si>
  <si>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</si>
  <si>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</si>
  <si>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</si>
  <si>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</si>
  <si>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</si>
  <si>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</si>
  <si>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</si>
  <si>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</si>
  <si>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</si>
  <si>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</si>
  <si>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</si>
  <si>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</si>
  <si>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</si>
  <si>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</si>
  <si>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</si>
  <si>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</si>
  <si>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</si>
  <si>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</si>
  <si>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</si>
  <si>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</si>
  <si>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</si>
  <si>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</si>
  <si>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</si>
  <si>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</si>
  <si>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</si>
  <si>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</si>
  <si>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</si>
  <si>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</si>
  <si>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</si>
  <si>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</si>
  <si>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</si>
  <si>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</si>
  <si>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</si>
  <si>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</si>
  <si>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</si>
  <si>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</si>
  <si>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</si>
  <si>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</si>
  <si>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</si>
  <si>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</si>
  <si>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</si>
  <si>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</si>
  <si>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</si>
  <si>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</si>
  <si>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</si>
  <si>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</si>
  <si>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</si>
  <si>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</si>
  <si>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</si>
  <si>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</si>
  <si>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</si>
  <si>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</si>
  <si>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</si>
  <si>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</si>
  <si>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</si>
  <si>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</si>
  <si>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</si>
  <si>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</si>
  <si>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</si>
  <si>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</si>
  <si>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</si>
  <si>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</si>
  <si>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</si>
  <si>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</si>
  <si>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</si>
  <si>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</si>
  <si>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</si>
  <si>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</si>
  <si>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</si>
  <si>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</si>
  <si>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</si>
  <si>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</si>
  <si>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</si>
  <si>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</si>
  <si>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</si>
  <si>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</si>
  <si>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</si>
  <si>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</si>
  <si>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</si>
  <si>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</si>
  <si>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</si>
  <si>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</si>
  <si>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</si>
  <si>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</si>
  <si>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</si>
  <si>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</si>
  <si>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</si>
  <si>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</si>
  <si>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</si>
  <si>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</si>
  <si>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</si>
  <si>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</si>
  <si>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</si>
  <si>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</si>
  <si>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</si>
  <si>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</si>
  <si>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</si>
  <si>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</si>
  <si>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</si>
  <si>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</si>
  <si>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</si>
  <si>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</si>
  <si>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</si>
  <si>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</si>
  <si>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</si>
  <si>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</si>
  <si>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</si>
  <si>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</si>
  <si>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</si>
  <si>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</si>
  <si>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</si>
  <si>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</si>
  <si>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</si>
  <si>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</si>
  <si>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</si>
  <si>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</si>
  <si>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</si>
  <si>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</si>
  <si>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</si>
  <si>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</si>
  <si>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</si>
  <si>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</si>
  <si>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</si>
  <si>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</si>
  <si>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</si>
  <si>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</si>
  <si>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</si>
  <si>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</si>
  <si>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</si>
  <si>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</si>
  <si>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</si>
  <si>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</si>
  <si>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</si>
  <si>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</si>
  <si>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</si>
  <si>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</si>
  <si>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</si>
  <si>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</si>
  <si>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</si>
  <si>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</si>
  <si>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</si>
  <si>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</si>
  <si>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</si>
  <si>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</si>
  <si>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</si>
  <si>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</si>
  <si>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</si>
  <si>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</si>
  <si>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</si>
  <si>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</si>
  <si>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</si>
  <si>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</si>
  <si>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</si>
  <si>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</si>
  <si>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</si>
  <si>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</si>
  <si>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</si>
  <si>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</si>
  <si>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</si>
  <si>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</si>
  <si>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</si>
  <si>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</si>
  <si>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</si>
  <si>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</si>
  <si>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</si>
  <si>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</si>
  <si>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</si>
  <si>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</si>
  <si>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</si>
  <si>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</si>
  <si>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</si>
  <si>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</si>
  <si>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</si>
  <si>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</si>
  <si>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</si>
  <si>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</si>
  <si>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</si>
  <si>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</si>
  <si>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</si>
  <si>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</si>
  <si>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</si>
  <si>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</si>
  <si>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</si>
  <si>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</si>
  <si>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</si>
  <si>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</si>
  <si>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</si>
  <si>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</si>
  <si>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</si>
  <si>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</si>
  <si>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</si>
  <si>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</si>
  <si>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</si>
  <si>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</si>
  <si>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</si>
  <si>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</si>
  <si>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</si>
  <si>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</si>
  <si>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</si>
  <si>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</si>
  <si>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</si>
  <si>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</si>
  <si>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</si>
  <si>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</si>
  <si>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</si>
  <si>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</si>
  <si>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</si>
  <si>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</si>
  <si>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</si>
  <si>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</si>
  <si>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</si>
  <si>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</si>
  <si>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</si>
  <si>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</si>
  <si>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</si>
  <si>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</si>
  <si>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</si>
  <si>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</si>
  <si>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</si>
  <si>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</si>
  <si>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</si>
  <si>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</si>
  <si>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</si>
  <si>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</si>
  <si>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</si>
  <si>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</si>
  <si>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</si>
  <si>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</si>
  <si>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</si>
  <si>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</si>
  <si>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</si>
  <si>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</si>
  <si>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</si>
  <si>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</si>
  <si>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</si>
  <si>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</si>
  <si>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</si>
  <si>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</si>
  <si>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</si>
  <si>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</si>
  <si>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</si>
  <si>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</si>
  <si>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</si>
  <si>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</si>
  <si>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</si>
  <si>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</si>
  <si>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</si>
  <si>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</si>
  <si>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</si>
  <si>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</si>
  <si>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</si>
  <si>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</si>
  <si>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</si>
  <si>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</si>
  <si>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</si>
  <si>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</si>
  <si>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</si>
  <si>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</si>
  <si>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</si>
  <si>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</si>
  <si>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</si>
  <si>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</si>
  <si>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</si>
  <si>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</si>
  <si>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</si>
  <si>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</si>
  <si>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</si>
  <si>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</si>
  <si>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</si>
  <si>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</si>
  <si>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</si>
  <si>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</si>
  <si>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</si>
  <si>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</si>
  <si>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</si>
  <si>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</si>
  <si>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</si>
  <si>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</si>
  <si>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</si>
  <si>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</si>
  <si>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</si>
  <si>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</si>
  <si>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</si>
  <si>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</si>
  <si>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</si>
  <si>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</si>
  <si>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</si>
  <si>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</si>
  <si>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</si>
  <si>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</si>
  <si>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</si>
  <si>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</si>
  <si>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</si>
  <si>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</si>
  <si>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</si>
  <si>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</si>
  <si>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</si>
  <si>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</si>
  <si>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</si>
  <si>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</si>
  <si>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</si>
  <si>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</si>
  <si>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</si>
  <si>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</si>
  <si>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</si>
  <si>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</si>
  <si>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</si>
  <si>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</si>
  <si>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</si>
  <si>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</si>
  <si>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</si>
  <si>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</si>
  <si>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</si>
  <si>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</si>
  <si>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</si>
  <si>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</si>
  <si>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</si>
  <si>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</si>
  <si>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</si>
  <si>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</si>
  <si>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</si>
  <si>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</si>
  <si>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</si>
  <si>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</si>
  <si>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</si>
  <si>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</si>
  <si>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</si>
  <si>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</si>
  <si>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</si>
  <si>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</si>
  <si>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</si>
  <si>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</si>
  <si>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</si>
  <si>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</si>
  <si>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</si>
  <si>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</si>
  <si>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</si>
  <si>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</si>
  <si>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</si>
  <si>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</si>
  <si>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</si>
  <si>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</si>
  <si>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</si>
  <si>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</si>
  <si>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</si>
  <si>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</si>
  <si>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</si>
  <si>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</si>
  <si>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</si>
  <si>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</si>
  <si>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</si>
  <si>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</si>
  <si>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</si>
  <si>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</si>
  <si>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</si>
  <si>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</si>
  <si>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</si>
  <si>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</si>
  <si>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</si>
  <si>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</si>
  <si>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</si>
  <si>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</si>
  <si>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</si>
  <si>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</si>
  <si>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</si>
  <si>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</si>
  <si>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</si>
  <si>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</si>
  <si>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</si>
  <si>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</si>
  <si>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</si>
  <si>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</si>
  <si>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</si>
  <si>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</si>
  <si>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</si>
  <si>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</si>
  <si>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</si>
  <si>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</si>
  <si>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</si>
  <si>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</si>
  <si>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</si>
  <si>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</si>
  <si>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</si>
  <si>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</si>
  <si>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</si>
  <si>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</si>
  <si>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</si>
  <si>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</si>
  <si>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</si>
  <si>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</si>
  <si>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</si>
  <si>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</si>
  <si>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</si>
  <si>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</si>
  <si>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</si>
  <si>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</si>
  <si>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</si>
  <si>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</si>
  <si>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</si>
  <si>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</si>
  <si>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</si>
  <si>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</si>
  <si>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</si>
  <si>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</si>
  <si>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</si>
  <si>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</si>
  <si>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</si>
  <si>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</si>
  <si>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</si>
  <si>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</si>
  <si>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</si>
  <si>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</si>
  <si>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</si>
  <si>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</si>
  <si>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</si>
  <si>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</si>
  <si>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</si>
  <si>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</si>
  <si>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</si>
  <si>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</si>
  <si>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</si>
  <si>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</si>
  <si>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</si>
  <si>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</si>
  <si>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</si>
  <si>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</si>
  <si>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</si>
  <si>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</si>
  <si>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</si>
  <si>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</si>
  <si>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</si>
  <si>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</si>
  <si>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</si>
  <si>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</si>
  <si>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</si>
  <si>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</si>
  <si>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</si>
  <si>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</si>
  <si>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</si>
  <si>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</si>
  <si>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</si>
  <si>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</si>
  <si>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</si>
  <si>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</si>
  <si>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</si>
  <si>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</si>
  <si>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</si>
  <si>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</si>
  <si>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</si>
  <si>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</si>
  <si>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</si>
  <si>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</si>
  <si>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</si>
  <si>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</si>
  <si>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</si>
  <si>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</si>
  <si>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</si>
  <si>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</si>
  <si>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</si>
  <si>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</si>
  <si>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</si>
  <si>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</si>
  <si>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</si>
  <si>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</si>
  <si>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</si>
  <si>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</si>
  <si>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</si>
  <si>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</si>
  <si>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</si>
  <si>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</si>
  <si>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</si>
  <si>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</si>
  <si>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</si>
  <si>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</si>
  <si>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</si>
  <si>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</si>
  <si>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</si>
  <si>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</si>
  <si>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</si>
  <si>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</si>
  <si>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</si>
  <si>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</si>
  <si>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</si>
  <si>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</si>
  <si>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</si>
  <si>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</si>
  <si>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</si>
  <si>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</si>
  <si>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</si>
  <si>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</si>
  <si>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</si>
  <si>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</si>
  <si>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</si>
  <si>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</si>
  <si>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</si>
  <si>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</si>
  <si>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</si>
  <si>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</si>
  <si>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</si>
  <si>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</si>
  <si>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</si>
  <si>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</si>
  <si>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</si>
  <si>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</si>
  <si>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</si>
  <si>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</si>
  <si>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</si>
  <si>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</si>
  <si>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</si>
  <si>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</si>
  <si>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</si>
  <si>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</si>
  <si>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</si>
  <si>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</si>
  <si>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</si>
  <si>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</si>
  <si>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</si>
  <si>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</si>
  <si>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</si>
  <si>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</si>
  <si>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</si>
  <si>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</si>
  <si>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</si>
  <si>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</si>
  <si>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</si>
  <si>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</si>
  <si>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</si>
  <si>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</si>
  <si>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</si>
  <si>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</si>
  <si>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</si>
  <si>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</si>
  <si>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</si>
  <si>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</si>
  <si>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</si>
  <si>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</si>
  <si>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</si>
  <si>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</si>
  <si>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</si>
  <si>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</si>
  <si>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</si>
  <si>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</si>
  <si>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</si>
  <si>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</si>
  <si>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</si>
  <si>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</si>
  <si>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</si>
  <si>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</si>
  <si>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</si>
  <si>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</si>
  <si>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</si>
  <si>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</si>
  <si>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</si>
  <si>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</si>
  <si>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</si>
  <si>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</si>
  <si>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</si>
  <si>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</si>
  <si>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</si>
  <si>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</si>
  <si>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</si>
  <si>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</si>
  <si>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</si>
  <si>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</si>
  <si>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</si>
  <si>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</si>
  <si>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</si>
  <si>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</si>
  <si>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</si>
  <si>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</si>
  <si>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</si>
  <si>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</si>
  <si>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</si>
  <si>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</si>
  <si>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</si>
  <si>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</si>
  <si>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</si>
  <si>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</si>
  <si>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</si>
  <si>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</si>
  <si>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</si>
  <si>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</si>
  <si>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</si>
  <si>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</si>
  <si>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</si>
  <si>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</si>
  <si>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</si>
  <si>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</si>
  <si>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</si>
  <si>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</si>
  <si>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</si>
  <si>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</si>
  <si>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</si>
  <si>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</si>
  <si>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</si>
  <si>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</si>
  <si>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</si>
  <si>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</si>
  <si>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</si>
  <si>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</si>
  <si>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</si>
  <si>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</si>
  <si>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</si>
  <si>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</si>
  <si>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</si>
  <si>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</si>
  <si>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</si>
  <si>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</si>
  <si>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</si>
  <si>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</si>
  <si>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</si>
  <si>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</si>
  <si>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</si>
  <si>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</si>
  <si>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</si>
  <si>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</si>
  <si>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</si>
  <si>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</si>
  <si>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</si>
  <si>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</si>
  <si>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</si>
  <si>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</si>
  <si>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</si>
  <si>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</si>
  <si>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</si>
  <si>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</si>
  <si>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</si>
  <si>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</si>
  <si>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</si>
  <si>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</si>
  <si>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</si>
  <si>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</si>
  <si>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</si>
  <si>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</si>
  <si>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</si>
  <si>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</si>
  <si>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</si>
  <si>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</si>
  <si>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</si>
  <si>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</si>
  <si>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</si>
  <si>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</si>
  <si>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</si>
  <si>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</si>
  <si>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</si>
  <si>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</si>
  <si>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</si>
  <si>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</si>
  <si>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</si>
  <si>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</si>
  <si>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</si>
  <si>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</si>
  <si>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</si>
  <si>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</si>
  <si>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</si>
  <si>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</si>
  <si>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</si>
  <si>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</si>
  <si>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</si>
  <si>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</si>
  <si>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</si>
  <si>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</si>
  <si>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</si>
  <si>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</si>
  <si>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</si>
  <si>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</si>
  <si>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</si>
  <si>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</si>
  <si>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</si>
  <si>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</si>
  <si>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</si>
  <si>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</si>
  <si>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</si>
  <si>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</si>
  <si>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</si>
  <si>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</si>
  <si>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</si>
  <si>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</si>
  <si>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</si>
  <si>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</si>
  <si>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</si>
  <si>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</si>
  <si>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</si>
  <si>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</si>
  <si>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</si>
  <si>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</si>
  <si>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</si>
  <si>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</si>
  <si>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</si>
  <si>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</si>
  <si>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</si>
  <si>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</si>
  <si>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</si>
  <si>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</si>
  <si>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</si>
  <si>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</si>
  <si>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</si>
  <si>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</si>
  <si>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</si>
  <si>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</si>
  <si>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</si>
  <si>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</si>
  <si>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</si>
  <si>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</si>
  <si>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</si>
  <si>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</si>
  <si>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</si>
  <si>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</si>
  <si>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</si>
  <si>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</si>
  <si>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</si>
  <si>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</si>
  <si>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</si>
  <si>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</si>
  <si>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</si>
  <si>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</si>
  <si>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</si>
  <si>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</si>
  <si>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</si>
  <si>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</si>
  <si>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</si>
  <si>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</si>
  <si>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</si>
  <si>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</si>
  <si>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</si>
  <si>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</si>
  <si>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</si>
  <si>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</si>
  <si>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</si>
  <si>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</si>
  <si>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</si>
  <si>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</si>
  <si>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</si>
  <si>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</si>
  <si>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</si>
  <si>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</si>
  <si>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</si>
  <si>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</si>
  <si>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</si>
  <si>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</si>
  <si>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</si>
  <si>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</si>
  <si>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</si>
  <si>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</si>
  <si>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</si>
  <si>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</si>
  <si>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</si>
  <si>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</si>
  <si>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</si>
  <si>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</si>
  <si>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</si>
  <si>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</si>
  <si>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</si>
  <si>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</si>
  <si>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</si>
  <si>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</si>
  <si>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</si>
  <si>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</si>
  <si>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</si>
  <si>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</si>
  <si>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</si>
  <si>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</si>
  <si>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</si>
  <si>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</si>
  <si>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</si>
  <si>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</si>
  <si>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</si>
  <si>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</si>
  <si>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</si>
  <si>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</si>
  <si>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</si>
  <si>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</si>
  <si>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</si>
  <si>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</si>
  <si>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</si>
  <si>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</si>
  <si>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</si>
  <si>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</si>
  <si>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</si>
  <si>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</si>
  <si>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</si>
  <si>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</si>
  <si>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</si>
  <si>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</si>
  <si>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</si>
  <si>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</si>
  <si>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</si>
  <si>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</si>
  <si>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</si>
  <si>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</si>
  <si>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</si>
  <si>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</si>
  <si>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</si>
  <si>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</si>
  <si>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</si>
  <si>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</si>
  <si>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</si>
  <si>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</si>
  <si>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</si>
  <si>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</si>
  <si>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</si>
  <si>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</si>
  <si>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</si>
  <si>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</si>
  <si>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</si>
  <si>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</si>
  <si>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</si>
  <si>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</si>
  <si>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</si>
  <si>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</si>
  <si>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</si>
  <si>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</si>
  <si>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</si>
  <si>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</si>
  <si>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</si>
  <si>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</si>
  <si>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</si>
  <si>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</si>
  <si>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</si>
  <si>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</si>
  <si>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</si>
  <si>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</si>
  <si>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</si>
  <si>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</si>
  <si>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</si>
  <si>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</si>
  <si>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</si>
  <si>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</si>
  <si>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</si>
  <si>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</si>
  <si>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</si>
  <si>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</si>
  <si>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</si>
  <si>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</si>
  <si>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</si>
  <si>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</si>
  <si>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</si>
  <si>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</si>
  <si>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</si>
  <si>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</si>
  <si>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</si>
  <si>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</si>
  <si>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</si>
  <si>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</si>
  <si>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</si>
  <si>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</si>
  <si>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</si>
  <si>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</si>
  <si>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</si>
  <si>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</si>
  <si>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</si>
  <si>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</si>
  <si>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</si>
  <si>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</si>
  <si>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</si>
  <si>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</si>
  <si>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</si>
  <si>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</si>
  <si>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</si>
  <si>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</si>
  <si>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</si>
  <si>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</si>
  <si>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</si>
  <si>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</si>
  <si>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</si>
  <si>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</si>
  <si>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</si>
  <si>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</si>
  <si>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</si>
  <si>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</si>
  <si>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</si>
  <si>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</si>
  <si>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</si>
  <si>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</si>
  <si>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</si>
  <si>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</si>
  <si>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</si>
  <si>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</si>
  <si>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</si>
  <si>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</si>
  <si>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</si>
  <si>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</si>
  <si>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</si>
  <si>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</si>
  <si>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</si>
  <si>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</si>
  <si>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</si>
  <si>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</si>
  <si>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</si>
  <si>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</si>
  <si>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</si>
  <si>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</si>
  <si>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</si>
  <si>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</si>
  <si>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</si>
  <si>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</si>
  <si>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</si>
  <si>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</si>
  <si>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</si>
  <si>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</si>
  <si>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</si>
  <si>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</si>
  <si>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</si>
  <si>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</si>
  <si>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</si>
  <si>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</si>
  <si>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</si>
  <si>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</si>
  <si>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</si>
  <si>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</si>
  <si>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</si>
  <si>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</si>
  <si>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</si>
  <si>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</si>
  <si>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</si>
  <si>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</si>
  <si>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</si>
  <si>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</si>
  <si>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</si>
  <si>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</si>
  <si>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</si>
  <si>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</si>
  <si>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</si>
  <si>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</si>
  <si>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</si>
  <si>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</si>
  <si>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</si>
  <si>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</si>
  <si>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</si>
  <si>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</si>
  <si>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</si>
  <si>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</si>
  <si>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</si>
  <si>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</si>
  <si>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</si>
  <si>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</si>
  <si>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</si>
  <si>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</si>
  <si>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</si>
  <si>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</si>
  <si>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</si>
  <si>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</si>
  <si>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</si>
  <si>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</si>
  <si>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</si>
  <si>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</si>
  <si>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</si>
  <si>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</si>
  <si>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</si>
  <si>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</si>
  <si>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</si>
  <si>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</si>
  <si>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</si>
  <si>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</si>
  <si>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</si>
  <si>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</si>
  <si>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</si>
  <si>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</si>
  <si>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</si>
  <si>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</si>
  <si>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</si>
  <si>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</si>
  <si>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</si>
  <si>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</si>
  <si>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</si>
  <si>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</si>
  <si>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</si>
  <si>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</si>
  <si>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</si>
  <si>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</si>
  <si>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</si>
  <si>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</si>
  <si>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</si>
  <si>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</si>
  <si>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</si>
  <si>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</si>
  <si>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</si>
  <si>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</si>
  <si>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</si>
  <si>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</si>
  <si>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</si>
  <si>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</si>
  <si>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</si>
  <si>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</si>
  <si>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</si>
  <si>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</si>
  <si>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</si>
  <si>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</si>
  <si>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</si>
  <si>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</si>
  <si>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</si>
  <si>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</si>
  <si>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</si>
  <si>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</si>
  <si>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</si>
  <si>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</si>
  <si>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</si>
  <si>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</si>
  <si>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</si>
  <si>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</si>
  <si>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</si>
  <si>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</si>
  <si>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</si>
  <si>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</si>
  <si>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</si>
  <si>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</si>
  <si>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</si>
  <si>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</si>
  <si>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</si>
  <si>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</si>
  <si>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</si>
  <si>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</si>
  <si>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</si>
  <si>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</si>
  <si>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</si>
  <si>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</si>
  <si>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</si>
  <si>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</si>
  <si>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</si>
  <si>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</si>
  <si>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</si>
  <si>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</si>
  <si>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</si>
  <si>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</si>
  <si>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</si>
  <si>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</si>
  <si>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</si>
  <si>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</si>
  <si>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</si>
  <si>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</si>
  <si>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</si>
  <si>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</si>
  <si>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</si>
  <si>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</si>
  <si>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</si>
  <si>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</si>
  <si>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</si>
  <si>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</si>
  <si>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</si>
  <si>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</si>
  <si>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</si>
  <si>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</si>
  <si>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</si>
  <si>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</si>
  <si>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</si>
  <si>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</si>
  <si>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</si>
  <si>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</si>
  <si>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</si>
  <si>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</si>
  <si>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</si>
  <si>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</si>
  <si>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</si>
  <si>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</si>
  <si>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</si>
  <si>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</si>
  <si>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</si>
  <si>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</si>
  <si>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</si>
  <si>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</si>
  <si>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</si>
  <si>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</si>
  <si>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</si>
  <si>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</si>
  <si>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</si>
  <si>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</si>
  <si>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</si>
  <si>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</si>
  <si>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</si>
  <si>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</si>
  <si>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</si>
  <si>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</si>
  <si>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</si>
  <si>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</si>
  <si>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</si>
  <si>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</si>
  <si>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</si>
  <si>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</si>
  <si>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</si>
  <si>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</si>
  <si>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</si>
  <si>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</si>
  <si>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</si>
  <si>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</si>
  <si>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</si>
  <si>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</si>
  <si>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</si>
  <si>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</si>
  <si>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</si>
  <si>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</si>
  <si>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</si>
  <si>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</si>
  <si>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</si>
  <si>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</si>
  <si>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</si>
  <si>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</si>
  <si>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</si>
  <si>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</si>
  <si>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</si>
  <si>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</si>
  <si>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</si>
  <si>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</si>
  <si>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</si>
  <si>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</si>
  <si>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</si>
  <si>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</si>
  <si>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</si>
  <si>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</si>
  <si>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</si>
  <si>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</si>
  <si>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</si>
  <si>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</si>
  <si>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</si>
  <si>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</si>
  <si>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</si>
  <si>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</si>
  <si>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</si>
  <si>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</si>
  <si>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</si>
  <si>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</si>
  <si>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</si>
  <si>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</si>
  <si>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</si>
  <si>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</si>
  <si>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</si>
  <si>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</si>
  <si>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</si>
  <si>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</si>
  <si>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</si>
  <si>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</si>
  <si>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</si>
  <si>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</si>
  <si>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</si>
  <si>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</si>
  <si>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</si>
  <si>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</si>
  <si>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</si>
  <si>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</si>
  <si>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</si>
  <si>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</si>
  <si>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</si>
  <si>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</si>
  <si>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</si>
  <si>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</si>
  <si>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</si>
  <si>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</si>
  <si>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</si>
  <si>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</si>
  <si>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</si>
  <si>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</si>
  <si>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</si>
  <si>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</si>
  <si>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</si>
  <si>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</si>
  <si>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</si>
  <si>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</si>
  <si>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</si>
  <si>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</si>
  <si>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</si>
  <si>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</si>
  <si>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</si>
  <si>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</si>
  <si>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</si>
  <si>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</si>
  <si>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</si>
  <si>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</si>
  <si>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</si>
  <si>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</si>
  <si>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</si>
  <si>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</si>
  <si>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</si>
  <si>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</si>
  <si>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</si>
  <si>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</si>
  <si>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</si>
  <si>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</si>
  <si>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</si>
  <si>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</si>
  <si>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</si>
  <si>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</si>
  <si>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</si>
  <si>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</si>
  <si>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</si>
  <si>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</si>
  <si>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</si>
  <si>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</si>
  <si>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</si>
  <si>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</si>
  <si>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</si>
  <si>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</si>
  <si>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</si>
  <si>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</si>
  <si>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</si>
  <si>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</si>
  <si>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</si>
  <si>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</si>
  <si>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</si>
  <si>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</si>
  <si>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</si>
  <si>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</si>
  <si>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</si>
  <si>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</si>
  <si>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</si>
  <si>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</si>
  <si>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</si>
  <si>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</si>
  <si>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</si>
  <si>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</si>
  <si>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</si>
  <si>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</si>
  <si>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</si>
  <si>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</si>
  <si>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</si>
  <si>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</si>
  <si>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</si>
  <si>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</si>
  <si>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</si>
  <si>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</si>
  <si>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</si>
  <si>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</si>
  <si>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</si>
  <si>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</si>
  <si>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</si>
  <si>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</si>
  <si>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</si>
  <si>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</si>
  <si>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</si>
  <si>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</si>
  <si>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</si>
  <si>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</si>
  <si>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</si>
  <si>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</si>
  <si>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</si>
  <si>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</si>
  <si>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</si>
  <si>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</si>
  <si>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</si>
  <si>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</si>
  <si>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</si>
  <si>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</si>
  <si>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</si>
  <si>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</si>
  <si>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</si>
  <si>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</si>
  <si>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</si>
  <si>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</si>
  <si>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</si>
  <si>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</si>
  <si>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</si>
  <si>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</si>
  <si>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</si>
  <si>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</si>
  <si>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</si>
  <si>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</si>
  <si>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</si>
  <si>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</si>
  <si>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</si>
  <si>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</si>
  <si>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</si>
  <si>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</si>
  <si>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</si>
  <si>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</si>
  <si>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</si>
  <si>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</si>
  <si>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</si>
  <si>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</si>
  <si>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</si>
  <si>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</si>
  <si>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</si>
  <si>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</si>
  <si>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</si>
  <si>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</si>
  <si>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</si>
  <si>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</si>
  <si>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</si>
  <si>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</si>
  <si>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</si>
  <si>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</si>
  <si>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</si>
  <si>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</si>
  <si>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</si>
  <si>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</si>
  <si>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</si>
  <si>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</si>
  <si>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</si>
  <si>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</si>
  <si>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</si>
  <si>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</si>
  <si>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</si>
  <si>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</si>
  <si>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</si>
  <si>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</si>
  <si>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</si>
  <si>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</si>
  <si>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</si>
  <si>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</si>
  <si>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</si>
  <si>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</si>
  <si>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</si>
  <si>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</si>
  <si>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</si>
  <si>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</si>
  <si>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</si>
  <si>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</si>
  <si>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</si>
  <si>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</si>
  <si>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</si>
  <si>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</si>
  <si>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</si>
  <si>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</si>
  <si>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</si>
  <si>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</si>
  <si>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</si>
  <si>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</si>
  <si>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</si>
  <si>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</si>
  <si>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</si>
  <si>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</si>
  <si>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</si>
  <si>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</si>
  <si>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</si>
  <si>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</si>
  <si>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</si>
  <si>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</si>
  <si>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</si>
  <si>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</si>
  <si>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</si>
  <si>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</si>
  <si>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</si>
  <si>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</si>
  <si>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</si>
  <si>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</si>
  <si>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</si>
  <si>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</si>
  <si>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</si>
  <si>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</si>
  <si>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</si>
  <si>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</si>
  <si>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</si>
  <si>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</si>
  <si>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</si>
  <si>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</si>
  <si>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</si>
  <si>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</si>
  <si>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</si>
  <si>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</si>
  <si>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</si>
  <si>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</si>
  <si>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</si>
  <si>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</si>
  <si>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</si>
  <si>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</si>
  <si>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</si>
  <si>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</si>
  <si>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</si>
  <si>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</si>
  <si>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</si>
  <si>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</si>
  <si>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</si>
  <si>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</si>
  <si>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</si>
  <si>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</si>
  <si>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</si>
  <si>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</si>
  <si>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</si>
  <si>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</si>
  <si>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</si>
  <si>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</si>
  <si>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</si>
  <si>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</si>
  <si>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</si>
  <si>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</si>
  <si>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</si>
  <si>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</si>
  <si>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</si>
  <si>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</si>
  <si>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</si>
  <si>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</si>
  <si>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</si>
  <si>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</si>
  <si>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</si>
  <si>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</si>
  <si>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</si>
  <si>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</si>
  <si>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</si>
  <si>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</si>
  <si>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</si>
  <si>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</si>
  <si>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</si>
  <si>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</si>
  <si>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</si>
  <si>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</si>
  <si>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</si>
  <si>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</si>
  <si>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</si>
  <si>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</si>
  <si>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</si>
  <si>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</si>
  <si>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</si>
  <si>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</si>
  <si>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</si>
  <si>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</si>
  <si>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</si>
  <si>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</si>
  <si>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</si>
  <si>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</si>
  <si>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</si>
  <si>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</si>
  <si>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</si>
  <si>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</si>
  <si>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</si>
  <si>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</si>
  <si>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</si>
  <si>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</si>
  <si>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</si>
  <si>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</si>
  <si>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</si>
  <si>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</si>
  <si>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</si>
  <si>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</si>
  <si>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</si>
  <si>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</si>
  <si>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</si>
  <si>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</si>
  <si>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</si>
  <si>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</si>
  <si>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</si>
  <si>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</si>
  <si>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</si>
  <si>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</si>
  <si>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</si>
  <si>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</si>
  <si>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</si>
  <si>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</si>
  <si>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</si>
  <si>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</si>
  <si>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</si>
  <si>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</si>
  <si>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</si>
  <si>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</si>
  <si>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</si>
  <si>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</si>
  <si>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</si>
  <si>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</si>
  <si>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</si>
  <si>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</si>
  <si>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</si>
  <si>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</si>
  <si>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</si>
  <si>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</si>
  <si>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</si>
  <si>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</si>
  <si>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</si>
  <si>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</si>
  <si>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</si>
  <si>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</si>
  <si>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</si>
  <si>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</si>
  <si>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</si>
  <si>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</si>
  <si>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</si>
  <si>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</si>
  <si>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</si>
  <si>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</si>
  <si>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</si>
  <si>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</si>
  <si>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</si>
  <si>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</si>
  <si>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</si>
  <si>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</si>
  <si>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</si>
  <si>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</si>
  <si>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</si>
  <si>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</si>
  <si>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</si>
  <si>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</si>
  <si>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</si>
  <si>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</si>
  <si>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</si>
  <si>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</si>
  <si>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</si>
  <si>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</si>
  <si>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</si>
  <si>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</si>
  <si>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</si>
  <si>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</si>
  <si>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</si>
  <si>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</si>
  <si>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</si>
  <si>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</si>
  <si>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</si>
  <si>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</si>
  <si>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</si>
  <si>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</si>
  <si>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</si>
  <si>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</si>
  <si>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</si>
  <si>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</si>
  <si>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</si>
  <si>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</si>
  <si>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</si>
  <si>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</si>
  <si>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</si>
  <si>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</si>
  <si>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</si>
  <si>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</si>
  <si>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</si>
  <si>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</si>
  <si>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</si>
  <si>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</si>
  <si>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</si>
  <si>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</si>
  <si>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</si>
  <si>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</si>
  <si>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</si>
  <si>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</si>
  <si>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</si>
  <si>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</si>
  <si>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</si>
  <si>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</si>
  <si>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</si>
  <si>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</si>
  <si>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</si>
  <si>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</si>
  <si>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</si>
  <si>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</si>
  <si>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</si>
  <si>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</si>
  <si>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</si>
  <si>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</si>
  <si>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</si>
  <si>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</si>
  <si>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</si>
  <si>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</si>
  <si>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</si>
  <si>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</si>
  <si>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</si>
  <si>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</si>
  <si>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</si>
  <si>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</si>
  <si>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</si>
  <si>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</si>
  <si>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</si>
  <si>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</si>
  <si>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</si>
  <si>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</si>
  <si>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</si>
  <si>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</si>
  <si>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</si>
  <si>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</si>
  <si>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</si>
  <si>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</si>
  <si>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</si>
  <si>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</si>
  <si>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</si>
  <si>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</si>
  <si>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</si>
  <si>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</si>
  <si>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</si>
  <si>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</si>
  <si>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</si>
  <si>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</si>
  <si>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</si>
  <si>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</si>
  <si>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</si>
  <si>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</si>
  <si>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</si>
  <si>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</si>
  <si>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</si>
  <si>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</si>
  <si>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</si>
  <si>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</si>
  <si>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</si>
  <si>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</si>
  <si>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</si>
  <si>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</si>
  <si>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</si>
  <si>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</si>
  <si>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</si>
  <si>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</si>
  <si>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</si>
  <si>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</si>
  <si>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</si>
  <si>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</si>
  <si>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</si>
  <si>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</si>
  <si>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</si>
  <si>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</si>
  <si>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</si>
  <si>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</si>
  <si>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</si>
  <si>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</si>
  <si>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</si>
  <si>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</si>
  <si>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</si>
  <si>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</si>
  <si>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</si>
  <si>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</si>
  <si>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</si>
  <si>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</si>
  <si>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</si>
  <si>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</si>
  <si>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</si>
  <si>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</si>
  <si>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</si>
  <si>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</si>
  <si>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</si>
  <si>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</si>
  <si>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</si>
  <si>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</si>
  <si>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</si>
  <si>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</si>
  <si>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</si>
  <si>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</si>
  <si>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</si>
  <si>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</si>
  <si>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</si>
  <si>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</si>
  <si>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</si>
  <si>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</si>
  <si>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</si>
  <si>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</si>
  <si>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</si>
  <si>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</si>
  <si>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</si>
  <si>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</si>
  <si>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Precious Metal Sales, Inc.</t>
  </si>
  <si>
    <t>100 New Wood Rd, Watertown, CT 06795</t>
  </si>
  <si>
    <t>Krista Upson</t>
  </si>
  <si>
    <t>krista@pmsalesinc.com</t>
  </si>
  <si>
    <t>8602748813</t>
  </si>
  <si>
    <t>Anthony Luccaro</t>
  </si>
  <si>
    <t>President</t>
  </si>
  <si>
    <t>here4u@pmsalesinc.com</t>
  </si>
  <si>
    <t>We do require but not validated by third party. The gold is sourced from a LBMA Good Delivery Refiner.</t>
  </si>
  <si>
    <t>The gold is sourced from a LBMA Good Delivery Refiner.</t>
  </si>
  <si>
    <t>255 John L. Dietsch Boulevard</t>
  </si>
  <si>
    <t>Samantha McCourt</t>
  </si>
  <si>
    <t>Samantha.McCourt@metalor.com</t>
  </si>
  <si>
    <t>Recycled and scrap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</si>
</sst>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rista@pmsalesin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e4u@pmsalesin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
      <c r="A4" s="357"/>
      <c r="B4" s="41" t="s">
        <v>872</v>
      </c>
      <c r="C4" s="7"/>
      <c r="D4" s="210"/>
      <c r="E4" s="3"/>
      <c r="F4" s="7"/>
      <c r="G4" s="34"/>
    </row>
    <row r="5" spans="1:7" ht="13.2">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20.399999999999999">
      <c r="A13" s="357"/>
      <c r="B13" s="2">
        <v>1</v>
      </c>
      <c r="C13" s="37" t="s">
        <v>1111</v>
      </c>
      <c r="D13" s="39" t="s">
        <v>899</v>
      </c>
      <c r="E13" s="196" t="s">
        <v>876</v>
      </c>
      <c r="F13" s="196"/>
      <c r="G13" s="34"/>
    </row>
    <row r="14" spans="1:7" ht="30.6">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55" customHeight="1">
      <c r="A29" s="357"/>
      <c r="B29" s="370"/>
      <c r="C29" s="364"/>
      <c r="D29" s="367"/>
      <c r="E29" s="355"/>
      <c r="F29" s="198" t="s">
        <v>63</v>
      </c>
      <c r="G29" s="34"/>
    </row>
    <row r="30" spans="1:7" ht="62.5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5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12.2">
      <c r="A36" s="357"/>
      <c r="B36" s="371"/>
      <c r="C36" s="365"/>
      <c r="D36" s="368"/>
      <c r="E36" s="356"/>
      <c r="F36" s="199" t="s">
        <v>71</v>
      </c>
      <c r="G36" s="34"/>
    </row>
    <row r="37" spans="1:7" ht="102">
      <c r="A37" s="357"/>
      <c r="B37" s="171">
        <v>3.01</v>
      </c>
      <c r="C37" s="172" t="s">
        <v>72</v>
      </c>
      <c r="D37" s="39" t="s">
        <v>2363</v>
      </c>
      <c r="E37" s="200" t="s">
        <v>1351</v>
      </c>
      <c r="F37" s="201" t="s">
        <v>1457</v>
      </c>
      <c r="G37" s="34"/>
    </row>
    <row r="38" spans="1:7" ht="81.599999999999994">
      <c r="A38" s="357"/>
      <c r="B38" s="171">
        <v>3.02</v>
      </c>
      <c r="C38" s="172" t="s">
        <v>1384</v>
      </c>
      <c r="D38" s="39" t="s">
        <v>2364</v>
      </c>
      <c r="E38" s="200" t="s">
        <v>1399</v>
      </c>
      <c r="F38" s="201" t="s">
        <v>1458</v>
      </c>
      <c r="G38" s="34"/>
    </row>
    <row r="39" spans="1:7" ht="81.599999999999994">
      <c r="A39" s="357"/>
      <c r="B39" s="182">
        <v>4</v>
      </c>
      <c r="C39" s="181" t="s">
        <v>1554</v>
      </c>
      <c r="D39" s="39" t="s">
        <v>2365</v>
      </c>
      <c r="E39" s="37" t="s">
        <v>2307</v>
      </c>
      <c r="F39" s="37" t="s">
        <v>1555</v>
      </c>
      <c r="G39" s="34"/>
    </row>
    <row r="40" spans="1:7" ht="40.799999999999997">
      <c r="A40" s="357"/>
      <c r="B40" s="171">
        <v>4.01</v>
      </c>
      <c r="C40" s="181" t="s">
        <v>1554</v>
      </c>
      <c r="D40" s="39" t="s">
        <v>2367</v>
      </c>
      <c r="E40" s="37" t="s">
        <v>2321</v>
      </c>
      <c r="F40" s="37" t="s">
        <v>2326</v>
      </c>
      <c r="G40" s="34"/>
    </row>
    <row r="41" spans="1:7" ht="40.799999999999997">
      <c r="A41" s="357"/>
      <c r="B41" s="171" t="s">
        <v>2354</v>
      </c>
      <c r="C41" s="181" t="s">
        <v>1554</v>
      </c>
      <c r="D41" s="39" t="s">
        <v>2366</v>
      </c>
      <c r="E41" s="37" t="s">
        <v>2357</v>
      </c>
      <c r="F41" s="37" t="s">
        <v>2355</v>
      </c>
      <c r="G41" s="34"/>
    </row>
    <row r="42" spans="1:7" ht="40.799999999999997">
      <c r="A42" s="357"/>
      <c r="B42" s="171" t="s">
        <v>2399</v>
      </c>
      <c r="C42" s="181" t="s">
        <v>1554</v>
      </c>
      <c r="D42" s="39" t="s">
        <v>2406</v>
      </c>
      <c r="E42" s="37" t="s">
        <v>2356</v>
      </c>
      <c r="F42" s="37" t="s">
        <v>2400</v>
      </c>
      <c r="G42" s="34"/>
    </row>
    <row r="43" spans="1:7" ht="112.2">
      <c r="A43" s="357"/>
      <c r="B43" s="193">
        <v>4.0999999999999996</v>
      </c>
      <c r="C43" s="181" t="s">
        <v>2405</v>
      </c>
      <c r="D43" s="194">
        <v>42867</v>
      </c>
      <c r="E43" s="202" t="s">
        <v>2408</v>
      </c>
      <c r="F43" s="37" t="s">
        <v>2407</v>
      </c>
      <c r="G43" s="34"/>
    </row>
    <row r="44" spans="1:7" ht="71.400000000000006">
      <c r="A44" s="357"/>
      <c r="B44" s="193">
        <v>4.2</v>
      </c>
      <c r="C44" s="181" t="s">
        <v>2405</v>
      </c>
      <c r="D44" s="194">
        <v>42704</v>
      </c>
      <c r="E44" s="202" t="s">
        <v>2625</v>
      </c>
      <c r="F44" s="37" t="s">
        <v>2598</v>
      </c>
      <c r="G44" s="34"/>
    </row>
    <row r="45" spans="1:7" ht="132.6">
      <c r="A45" s="357"/>
      <c r="B45" s="243">
        <v>5</v>
      </c>
      <c r="C45" s="181" t="s">
        <v>2405</v>
      </c>
      <c r="D45" s="194">
        <v>42867</v>
      </c>
      <c r="E45" s="202" t="s">
        <v>13032</v>
      </c>
      <c r="F45" s="37" t="s">
        <v>12754</v>
      </c>
      <c r="G45" s="34"/>
    </row>
    <row r="46" spans="1:7" ht="30.6">
      <c r="A46" s="357"/>
      <c r="B46" s="193">
        <v>5.01</v>
      </c>
      <c r="C46" s="181" t="s">
        <v>2405</v>
      </c>
      <c r="D46" s="194">
        <v>42907</v>
      </c>
      <c r="E46" s="202" t="s">
        <v>13052</v>
      </c>
      <c r="F46" s="37" t="s">
        <v>12754</v>
      </c>
      <c r="G46" s="34"/>
    </row>
    <row r="47" spans="1:7" ht="61.2">
      <c r="A47" s="357"/>
      <c r="B47" s="193">
        <v>5.0999999999999996</v>
      </c>
      <c r="C47" s="181" t="s">
        <v>2405</v>
      </c>
      <c r="D47" s="194">
        <v>43070</v>
      </c>
      <c r="E47" s="202" t="s">
        <v>13247</v>
      </c>
      <c r="F47" s="37" t="s">
        <v>13248</v>
      </c>
      <c r="G47" s="34"/>
    </row>
    <row r="48" spans="1:7" ht="51">
      <c r="A48" s="357"/>
      <c r="B48" s="193">
        <v>5.1100000000000003</v>
      </c>
      <c r="C48" s="181" t="s">
        <v>13489</v>
      </c>
      <c r="D48" s="194">
        <v>43217</v>
      </c>
      <c r="E48" s="202" t="s">
        <v>13617</v>
      </c>
      <c r="F48" s="37" t="s">
        <v>13523</v>
      </c>
      <c r="G48" s="34"/>
    </row>
    <row r="49" spans="1:7" ht="51">
      <c r="A49" s="357"/>
      <c r="B49" s="193">
        <v>5.12</v>
      </c>
      <c r="C49" s="181" t="s">
        <v>13489</v>
      </c>
      <c r="D49" s="194">
        <v>43581</v>
      </c>
      <c r="E49" s="202" t="s">
        <v>13617</v>
      </c>
      <c r="F49" s="37" t="s">
        <v>14191</v>
      </c>
      <c r="G49" s="34"/>
    </row>
    <row r="50" spans="1:7" ht="71.400000000000006">
      <c r="A50" s="357"/>
      <c r="B50" s="243">
        <v>6</v>
      </c>
      <c r="C50" s="181" t="s">
        <v>13489</v>
      </c>
      <c r="D50" s="194">
        <v>43964</v>
      </c>
      <c r="E50" s="202" t="s">
        <v>14433</v>
      </c>
      <c r="F50" s="37" t="s">
        <v>14204</v>
      </c>
      <c r="G50" s="34"/>
    </row>
    <row r="51" spans="1:7" ht="40.799999999999997">
      <c r="A51" s="357"/>
      <c r="B51" s="193">
        <v>6.01</v>
      </c>
      <c r="C51" s="181" t="s">
        <v>13489</v>
      </c>
      <c r="D51" s="194">
        <v>43970</v>
      </c>
      <c r="E51" s="202" t="s">
        <v>15503</v>
      </c>
      <c r="F51" s="202" t="s">
        <v>14204</v>
      </c>
      <c r="G51" s="34"/>
    </row>
    <row r="52" spans="1:7" ht="13.2" thickBot="1">
      <c r="A52" s="358"/>
      <c r="B52" s="359" t="str">
        <f ca="1">OFFSET(L!$C$1,MATCH("General"&amp;"Cpy",L!$A:$A,0)-1,SL,,)</f>
        <v>© 2020 Responsible Minerals Initiative. All rights reserved.</v>
      </c>
      <c r="C52" s="359"/>
      <c r="D52" s="359"/>
      <c r="E52" s="359"/>
      <c r="F52" s="359"/>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3"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6.2">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2" t="s">
        <v>15507</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2" t="s">
        <v>15511</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2" t="s">
        <v>15512</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1" t="s">
        <v>15513</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6" t="s">
        <v>15510</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9">
        <v>44004</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78" t="s">
        <v>498</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499</v>
      </c>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t="s">
        <v>15514</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t="s">
        <v>15515</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81C22186-1EF3-49D4-B349-49353BDEB352}"/>
    <hyperlink ref="D20" r:id="rId4" xr:uid="{FFA4AF6A-B466-40D5-BAEC-A8631C089610}"/>
  </hyperlinks>
  <pageMargins left="0" right="0" top="0" bottom="0" header="0" footer="0"/>
  <pageSetup scale="63" fitToHeight="0" orientation="landscape"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AH2508"/>
  <sheetViews>
    <sheetView showGridLines="0" showZeros="0" tabSelected="1" topLeftCell="K1" zoomScalePageLayoutView="55" workbookViewId="0">
      <pane ySplit="4" topLeftCell="A5" activePane="bottomLeft" state="frozen"/>
      <selection pane="bottomLeft" activeCell="O7" sqref="O7"/>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0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t="s">
        <v>724</v>
      </c>
      <c r="B5" s="217" t="s">
        <v>1153</v>
      </c>
      <c r="C5" s="221" t="str">
        <f ca="1">IF(LEN(A5)=0,"",INDEX('Smelter Look-up'!$C:$C,MATCH($A5,'Smelter Look-up'!$E:$E,0)))</f>
        <v>Metalor USA Refining Corporation</v>
      </c>
      <c r="D5" s="283"/>
      <c r="E5" s="217" t="str">
        <f ca="1">IF(ISERROR($V5),"",OFFSET('Smelter Look-up'!$D$4,$V5-4,0)&amp;"")</f>
        <v>UNITED STATES OF AMERICA</v>
      </c>
      <c r="F5" s="217" t="str">
        <f ca="1">IF(ISERROR($V5),"",OFFSET('Smelter Look-up'!$E$4,$V5-4,0))</f>
        <v>CID001157</v>
      </c>
      <c r="G5" s="217" t="str">
        <f ca="1">IF(C5=$X$4,"Enter smelter details",IF(ISERROR($V5),"",OFFSET('Smelter Look-up'!$F$4,$V5-4,0)))</f>
        <v>RMI</v>
      </c>
      <c r="H5" s="218" t="s">
        <v>15516</v>
      </c>
      <c r="I5" s="219" t="str">
        <f ca="1">IF(ISERROR($V5),"",OFFSET('Smelter Look-up'!$H$4,$V5-4,0))</f>
        <v>North Attleboro</v>
      </c>
      <c r="J5" s="219" t="str">
        <f ca="1">IF(ISERROR($V5),"",OFFSET('Smelter Look-up'!$I$4,$V5-4,0))</f>
        <v>Massachusetts</v>
      </c>
      <c r="K5" s="273" t="s">
        <v>15517</v>
      </c>
      <c r="L5" s="273" t="s">
        <v>15518</v>
      </c>
      <c r="M5" s="273"/>
      <c r="N5" s="273" t="s">
        <v>15519</v>
      </c>
      <c r="O5" s="273" t="s">
        <v>15519</v>
      </c>
      <c r="P5" s="220" t="s">
        <v>498</v>
      </c>
      <c r="Q5" s="274"/>
      <c r="R5" s="217" t="str">
        <f ca="1">IF(ISERROR($V5),"",OFFSET('Smelter Look-up'!$C$4,$V5-4,0)&amp;"")</f>
        <v>Metalor USA Refining Corporation</v>
      </c>
      <c r="S5" s="225" t="str">
        <f t="shared" ref="S5" ca="1" si="0">IF(B5="","",IF(ISERROR(MATCH($E5,CL,0)),"Unknown",INDIRECT("'C'!$A$"&amp;MATCH($E5,CL,0)+1)))</f>
        <v>US</v>
      </c>
      <c r="T5" s="225" t="str">
        <f ca="1">IF(B5="","",IF(ISERROR(MATCH($J5,SorP!$B$1:$B$6230,0)),"",INDIRECT("'SorP'!$A$"&amp;MATCH($J5,SorP!$B$1:$B$6230,0))))</f>
        <v>US-MA</v>
      </c>
      <c r="U5" s="241"/>
      <c r="V5" s="275">
        <f ca="1">IF(C5="",NA(),MATCH($B5&amp;$C5,'Smelter Look-up'!$J:$J,0))</f>
        <v>159</v>
      </c>
      <c r="W5" s="276"/>
      <c r="X5" s="276">
        <f t="shared" ref="X5" ca="1" si="1">IF(AND(C5="Smelter not listed",OR(LEN(D5)=0,LEN(E5)=0)),1,0)</f>
        <v>0</v>
      </c>
      <c r="Y5" s="276"/>
      <c r="Z5" s="276"/>
      <c r="AB5" s="278" t="str">
        <f t="shared" ref="AB5" ca="1" si="2">B5&amp;C5</f>
        <v>GoldMetalor USA Refining Corporation</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 right="0" top="0" bottom="0" header="0" footer="0"/>
  <pageSetup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Precious Metal Sales,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Krista Upson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krista@pmsalesinc.com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8602748813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Anthony Luccaro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here4u@pmsalesinc.com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44004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0</v>
      </c>
      <c r="G66" s="81">
        <f ca="1">IF(AND(COUNTIF(SmelterIdetifiedForMetal,"Tin")&gt;0,COUNTIF('Smelter List'!AB$5:AB$2504,"Tin?*")&gt;0),0,1)</f>
        <v>1</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060324a1-f66f-4c36-a8ec-beadbf2f4219"/>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elements/1.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Krista</cp:lastModifiedBy>
  <cp:lastPrinted>2020-06-22T19:54:53Z</cp:lastPrinted>
  <dcterms:created xsi:type="dcterms:W3CDTF">2010-06-21T21:00:23Z</dcterms:created>
  <dcterms:modified xsi:type="dcterms:W3CDTF">2020-06-22T20:01:05Z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