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fllonxa\Desktop\"/>
    </mc:Choice>
  </mc:AlternateContent>
  <xr:revisionPtr revIDLastSave="0" documentId="8_{92549E75-933A-4C38-ABAA-16A6D7582A3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E4" i="8"/>
  <c r="B5" i="5"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X75" i="5" s="1"/>
  <c r="V76" i="5"/>
  <c r="E76" i="5"/>
  <c r="V77" i="5"/>
  <c r="E77" i="5"/>
  <c r="V78" i="5"/>
  <c r="E78" i="5"/>
  <c r="V79" i="5"/>
  <c r="E79" i="5"/>
  <c r="X79" i="5" s="1"/>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X107" i="5" s="1"/>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X171" i="5" s="1"/>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X235" i="5" s="1"/>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X1027" i="5" s="1"/>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X1939" i="5" s="1"/>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X2350" i="5" s="1"/>
  <c r="V2351" i="5"/>
  <c r="E2351" i="5"/>
  <c r="X2351" i="5" s="1"/>
  <c r="V2352" i="5"/>
  <c r="E2352" i="5"/>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X2443" i="5" s="1"/>
  <c r="V2444" i="5"/>
  <c r="E2444" i="5"/>
  <c r="V2445" i="5"/>
  <c r="E2445" i="5"/>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B6"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B59" i="4"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4" i="5"/>
  <c r="AB17" i="5"/>
  <c r="AB16" i="5"/>
  <c r="AB13" i="5"/>
  <c r="AB15" i="5"/>
  <c r="H49" i="6"/>
  <c r="D49" i="6"/>
  <c r="H34" i="6"/>
  <c r="H32" i="6"/>
  <c r="D19" i="6"/>
  <c r="C19" i="6"/>
  <c r="K65" i="6"/>
  <c r="D24" i="6"/>
  <c r="X100" i="5"/>
  <c r="D27" i="6"/>
  <c r="C27"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D34" i="6"/>
  <c r="D31" i="6"/>
  <c r="C30" i="6"/>
  <c r="D30" i="6"/>
  <c r="D32" i="6"/>
  <c r="R16" i="5"/>
  <c r="I16" i="5"/>
  <c r="H16" i="5"/>
  <c r="J16" i="5"/>
  <c r="F16" i="5"/>
  <c r="H13" i="5"/>
  <c r="R13" i="5"/>
  <c r="J13" i="5"/>
  <c r="I13" i="5"/>
  <c r="F13" i="5"/>
  <c r="H17" i="5"/>
  <c r="I17" i="5"/>
  <c r="J17" i="5"/>
  <c r="R17" i="5"/>
  <c r="F17" i="5"/>
  <c r="H15" i="5"/>
  <c r="J15" i="5"/>
  <c r="I15" i="5"/>
  <c r="F15" i="5"/>
  <c r="R15" i="5"/>
  <c r="I14" i="5"/>
  <c r="R14" i="5"/>
  <c r="J14" i="5"/>
  <c r="H14" i="5"/>
  <c r="F14" i="5"/>
  <c r="C47" i="6"/>
  <c r="D60" i="6"/>
  <c r="D58" i="6"/>
  <c r="D63" i="6"/>
  <c r="D62" i="6"/>
  <c r="D54" i="6"/>
  <c r="D57" i="6"/>
  <c r="F56" i="6"/>
  <c r="H56" i="6"/>
  <c r="H55" i="6"/>
  <c r="D59" i="6"/>
  <c r="T15" i="5"/>
  <c r="T16" i="5"/>
  <c r="T13" i="5"/>
  <c r="T17" i="5"/>
  <c r="T14" i="5"/>
  <c r="X13" i="5"/>
  <c r="X14" i="5"/>
  <c r="X17" i="5"/>
  <c r="X15" i="5"/>
  <c r="X16" i="5"/>
  <c r="D55" i="6"/>
  <c r="C55" i="6"/>
  <c r="D56" i="6"/>
  <c r="C56" i="6"/>
  <c r="S17" i="5"/>
  <c r="S16" i="5"/>
  <c r="S15" i="5"/>
  <c r="S13" i="5"/>
  <c r="S14" i="5"/>
  <c r="G64" i="6" a="1"/>
  <c r="A27" i="6" l="1"/>
  <c r="C11" i="5"/>
  <c r="C10" i="5"/>
  <c r="C9" i="5"/>
  <c r="C8" i="5"/>
  <c r="C7" i="5"/>
  <c r="C6" i="5"/>
  <c r="C12" i="6"/>
  <c r="D12" i="6"/>
  <c r="G67" i="4"/>
  <c r="G37" i="4"/>
  <c r="G43" i="4"/>
  <c r="G49" i="4"/>
  <c r="B33" i="4"/>
  <c r="A20" i="6" s="1"/>
  <c r="G31" i="4"/>
  <c r="G74" i="4"/>
  <c r="G61" i="4"/>
  <c r="C5" i="5"/>
  <c r="F69" i="6" s="1"/>
  <c r="C69" i="6" s="1"/>
  <c r="G64" i="6"/>
  <c r="B34" i="4"/>
  <c r="A21" i="6" s="1"/>
  <c r="B65" i="4"/>
  <c r="A47" i="6" s="1"/>
  <c r="B57" i="4"/>
  <c r="A40" i="6" s="1"/>
  <c r="B53" i="4"/>
  <c r="A37" i="6" s="1"/>
  <c r="V12" i="5" l="1"/>
  <c r="AB12" i="5"/>
  <c r="AB11" i="5"/>
  <c r="V11" i="5"/>
  <c r="G11" i="5" s="1"/>
  <c r="AB10" i="5"/>
  <c r="V10" i="5"/>
  <c r="V9" i="5"/>
  <c r="G9" i="5" s="1"/>
  <c r="AB9" i="5"/>
  <c r="V8" i="5"/>
  <c r="AB8" i="5"/>
  <c r="V7" i="5"/>
  <c r="G7" i="5" s="1"/>
  <c r="AB7" i="5"/>
  <c r="AB6" i="5"/>
  <c r="V6" i="5"/>
  <c r="G6" i="5" s="1"/>
  <c r="V5" i="5"/>
  <c r="I5" i="5" s="1"/>
  <c r="AB5" i="5"/>
  <c r="H64" i="6"/>
  <c r="B64" i="6"/>
  <c r="I12" i="5" l="1"/>
  <c r="J12" i="5"/>
  <c r="F12" i="5"/>
  <c r="E12" i="5"/>
  <c r="R12" i="5"/>
  <c r="H12" i="5"/>
  <c r="G12" i="5"/>
  <c r="R11" i="5"/>
  <c r="J11" i="5"/>
  <c r="H11" i="5"/>
  <c r="I11" i="5"/>
  <c r="F11" i="5"/>
  <c r="E11" i="5"/>
  <c r="E10" i="5"/>
  <c r="I10" i="5"/>
  <c r="H10" i="5"/>
  <c r="F10" i="5"/>
  <c r="J10" i="5"/>
  <c r="R10" i="5"/>
  <c r="G10" i="5"/>
  <c r="R9" i="5"/>
  <c r="E9" i="5"/>
  <c r="H9" i="5"/>
  <c r="F9" i="5"/>
  <c r="J9" i="5"/>
  <c r="I9" i="5"/>
  <c r="H8" i="5"/>
  <c r="J8" i="5"/>
  <c r="I8" i="5"/>
  <c r="E8" i="5"/>
  <c r="R8" i="5"/>
  <c r="F8" i="5"/>
  <c r="G8" i="5"/>
  <c r="H7" i="5"/>
  <c r="J7" i="5"/>
  <c r="R7" i="5"/>
  <c r="F7" i="5"/>
  <c r="E7" i="5"/>
  <c r="I7" i="5"/>
  <c r="E6" i="5"/>
  <c r="R6" i="5"/>
  <c r="I6" i="5"/>
  <c r="F6" i="5"/>
  <c r="J6" i="5"/>
  <c r="H6" i="5"/>
  <c r="E5" i="5"/>
  <c r="R5" i="5"/>
  <c r="F5" i="5"/>
  <c r="G5" i="5"/>
  <c r="J5" i="5"/>
  <c r="G65" i="6"/>
  <c r="H65" i="6" s="1"/>
  <c r="G67" i="6"/>
  <c r="H67" i="6" s="1"/>
  <c r="G66" i="6"/>
  <c r="H66" i="6" s="1"/>
  <c r="G68" i="6"/>
  <c r="H68" i="6" s="1"/>
  <c r="D64" i="6"/>
  <c r="C64" i="6"/>
  <c r="G69" i="6" a="1"/>
  <c r="G69" i="6" s="1"/>
  <c r="H69" i="6" s="1"/>
  <c r="H70" i="6" s="1"/>
  <c r="D2" i="6" s="1"/>
  <c r="X5" i="5"/>
  <c r="T9" i="5"/>
  <c r="T5" i="5"/>
  <c r="T7" i="5"/>
  <c r="T12" i="5"/>
  <c r="S5" i="5"/>
  <c r="T11" i="5"/>
  <c r="T10" i="5"/>
  <c r="T6" i="5"/>
  <c r="T8" i="5"/>
  <c r="X12" i="5" l="1"/>
  <c r="X11" i="5"/>
  <c r="X10" i="5"/>
  <c r="X9" i="5"/>
  <c r="X8" i="5"/>
  <c r="X7" i="5"/>
  <c r="X6" i="5"/>
  <c r="D68" i="6"/>
  <c r="C68" i="6"/>
  <c r="C66" i="6"/>
  <c r="D66" i="6"/>
  <c r="C67" i="6"/>
  <c r="D67" i="6"/>
  <c r="C65" i="6"/>
  <c r="D65" i="6"/>
  <c r="S11" i="5"/>
  <c r="S10" i="5"/>
  <c r="S6" i="5"/>
  <c r="S9" i="5"/>
  <c r="S8" i="5"/>
  <c r="S7"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<sst xmlns="http://schemas.openxmlformats.org/spreadsheetml/2006/main" count="22171" uniqueCount="15683">
  <si>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</si>
  <si>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</si>
  <si>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</si>
  <si>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</si>
  <si>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</si>
  <si>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</si>
  <si>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</si>
  <si>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</si>
  <si>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</si>
  <si>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</si>
  <si>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</si>
  <si>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</si>
  <si>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</si>
  <si>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</si>
  <si>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</si>
  <si>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</si>
  <si>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</si>
  <si>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</si>
  <si>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</si>
  <si>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</si>
  <si>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</si>
  <si>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</si>
  <si>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</si>
  <si>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</si>
  <si>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</si>
  <si>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</si>
  <si>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</si>
  <si>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</si>
  <si>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</si>
  <si>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</si>
  <si>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</si>
  <si>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</si>
  <si>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</si>
  <si>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</si>
  <si>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</si>
  <si>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</si>
  <si>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</si>
  <si>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</si>
  <si>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</si>
  <si>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</si>
  <si>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</si>
  <si>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</si>
  <si>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</si>
  <si>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</si>
  <si>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</si>
  <si>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</si>
  <si>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</si>
  <si>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</si>
  <si>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</si>
  <si>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</si>
  <si>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</si>
  <si>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</si>
  <si>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</si>
  <si>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</si>
  <si>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</si>
  <si>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</si>
  <si>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</si>
  <si>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</si>
  <si>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</si>
  <si>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</si>
  <si>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</si>
  <si>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</si>
  <si>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</si>
  <si>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</si>
  <si>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</si>
  <si>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</si>
  <si>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</si>
  <si>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</si>
  <si>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</si>
  <si>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</si>
  <si>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</si>
  <si>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</si>
  <si>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</si>
  <si>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</si>
  <si>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</si>
  <si>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</si>
  <si>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</si>
  <si>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</si>
  <si>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</si>
  <si>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</si>
  <si>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</si>
  <si>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</si>
  <si>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</si>
  <si>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</si>
  <si>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</si>
  <si>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</si>
  <si>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</si>
  <si>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</si>
  <si>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</si>
  <si>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</si>
  <si>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</si>
  <si>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</si>
  <si>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</si>
  <si>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</si>
  <si>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</si>
  <si>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</si>
  <si>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</si>
  <si>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</si>
  <si>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</si>
  <si>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</si>
  <si>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</si>
  <si>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</si>
  <si>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</si>
  <si>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</si>
  <si>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</si>
  <si>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</si>
  <si>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</si>
  <si>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</si>
  <si>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</si>
  <si>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</si>
  <si>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</si>
  <si>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</si>
  <si>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</si>
  <si>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</si>
  <si>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</si>
  <si>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</si>
  <si>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</si>
  <si>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</si>
  <si>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</si>
  <si>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</si>
  <si>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</si>
  <si>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</si>
  <si>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</si>
  <si>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</si>
  <si>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</si>
  <si>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</si>
  <si>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</si>
  <si>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</si>
  <si>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</si>
  <si>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</si>
  <si>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</si>
  <si>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</si>
  <si>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</si>
  <si>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</si>
  <si>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</si>
  <si>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</si>
  <si>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</si>
  <si>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</si>
  <si>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</si>
  <si>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</si>
  <si>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</si>
  <si>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</si>
  <si>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</si>
  <si>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</si>
  <si>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</si>
  <si>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</si>
  <si>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</si>
  <si>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</si>
  <si>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</si>
  <si>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</si>
  <si>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</si>
  <si>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</si>
  <si>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</si>
  <si>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</si>
  <si>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</si>
  <si>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</si>
  <si>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</si>
  <si>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</si>
  <si>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</si>
  <si>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</si>
  <si>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</si>
  <si>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</si>
  <si>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</si>
  <si>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</si>
  <si>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</si>
  <si>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</si>
  <si>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</si>
  <si>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</si>
  <si>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</si>
  <si>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</si>
  <si>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</si>
  <si>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</si>
  <si>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</si>
  <si>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</si>
  <si>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</si>
  <si>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</si>
  <si>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</si>
  <si>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</si>
  <si>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</si>
  <si>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</si>
  <si>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</si>
  <si>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</si>
  <si>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</si>
  <si>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</si>
  <si>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</si>
  <si>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</si>
  <si>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</si>
  <si>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</si>
  <si>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</si>
  <si>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</si>
  <si>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</si>
  <si>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</si>
  <si>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</si>
  <si>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</si>
  <si>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</si>
  <si>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</si>
  <si>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</si>
  <si>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</si>
  <si>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</si>
  <si>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</si>
  <si>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</si>
  <si>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</si>
  <si>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</si>
  <si>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</si>
  <si>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</si>
  <si>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</si>
  <si>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</si>
  <si>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</si>
  <si>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</si>
  <si>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</si>
  <si>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</si>
  <si>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</si>
  <si>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</si>
  <si>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</si>
  <si>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</si>
  <si>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</si>
  <si>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</si>
  <si>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</si>
  <si>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</si>
  <si>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</si>
  <si>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</si>
  <si>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</si>
  <si>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</si>
  <si>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</si>
  <si>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</si>
  <si>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</si>
  <si>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</si>
  <si>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</si>
  <si>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</si>
  <si>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</si>
  <si>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</si>
  <si>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</si>
  <si>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</si>
  <si>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</si>
  <si>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</si>
  <si>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</si>
  <si>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</si>
  <si>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</si>
  <si>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</si>
  <si>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</si>
  <si>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</si>
  <si>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</si>
  <si>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</si>
  <si>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</si>
  <si>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</si>
  <si>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</si>
  <si>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</si>
  <si>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</si>
  <si>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</si>
  <si>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</si>
  <si>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</si>
  <si>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</si>
  <si>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</si>
  <si>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</si>
  <si>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</si>
  <si>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</si>
  <si>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</si>
  <si>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</si>
  <si>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</si>
  <si>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</si>
  <si>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</si>
  <si>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</si>
  <si>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</si>
  <si>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</si>
  <si>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</si>
  <si>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</si>
  <si>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</si>
  <si>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</si>
  <si>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</si>
  <si>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</si>
  <si>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</si>
  <si>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</si>
  <si>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</si>
  <si>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</si>
  <si>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</si>
  <si>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</si>
  <si>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</si>
  <si>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</si>
  <si>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</si>
  <si>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</si>
  <si>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</si>
  <si>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</si>
  <si>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</si>
  <si>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</si>
  <si>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</si>
  <si>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</si>
  <si>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</si>
  <si>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</si>
  <si>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</si>
  <si>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</si>
  <si>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</si>
  <si>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</si>
  <si>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</si>
  <si>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</si>
  <si>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</si>
  <si>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</si>
  <si>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</si>
  <si>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</si>
  <si>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</si>
  <si>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</si>
  <si>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</si>
  <si>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</si>
  <si>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</si>
  <si>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</si>
  <si>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</si>
  <si>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</si>
  <si>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</si>
  <si>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</si>
  <si>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</si>
  <si>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</si>
  <si>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</si>
  <si>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</si>
  <si>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</si>
  <si>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</si>
  <si>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</si>
  <si>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</si>
  <si>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</si>
  <si>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</si>
  <si>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</si>
  <si>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</si>
  <si>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</si>
  <si>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</si>
  <si>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</si>
  <si>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</si>
  <si>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</si>
  <si>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</si>
  <si>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</si>
  <si>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</si>
  <si>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</si>
  <si>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</si>
  <si>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</si>
  <si>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</si>
  <si>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</si>
  <si>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</si>
  <si>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</si>
  <si>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</si>
  <si>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</si>
  <si>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</si>
  <si>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</si>
  <si>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</si>
  <si>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</si>
  <si>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</si>
  <si>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</si>
  <si>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</si>
  <si>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</si>
  <si>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</si>
  <si>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</si>
  <si>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</si>
  <si>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</si>
  <si>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</si>
  <si>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</si>
  <si>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</si>
  <si>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</si>
  <si>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</si>
  <si>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</si>
  <si>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</si>
  <si>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</si>
  <si>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</si>
  <si>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</si>
  <si>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</si>
  <si>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</si>
  <si>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</si>
  <si>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</si>
  <si>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</si>
  <si>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</si>
  <si>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</si>
  <si>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</si>
  <si>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</si>
  <si>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</si>
  <si>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</si>
  <si>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</si>
  <si>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</si>
  <si>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</si>
  <si>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</si>
  <si>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</si>
  <si>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</si>
  <si>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</si>
  <si>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</si>
  <si>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</si>
  <si>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</si>
  <si>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</si>
  <si>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</si>
  <si>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</si>
  <si>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</si>
  <si>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</si>
  <si>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</si>
  <si>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</si>
  <si>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</si>
  <si>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</si>
  <si>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</si>
  <si>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</si>
  <si>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</si>
  <si>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</si>
  <si>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</si>
  <si>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</si>
  <si>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</si>
  <si>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</si>
  <si>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</si>
  <si>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</si>
  <si>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</si>
  <si>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</si>
  <si>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</si>
  <si>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</si>
  <si>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</si>
  <si>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</si>
  <si>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</si>
  <si>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</si>
  <si>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</si>
  <si>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</si>
  <si>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</si>
  <si>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</si>
  <si>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</si>
  <si>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</si>
  <si>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</si>
  <si>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</si>
  <si>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</si>
  <si>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</si>
  <si>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</si>
  <si>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</si>
  <si>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</si>
  <si>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</si>
  <si>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</si>
  <si>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</si>
  <si>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</si>
  <si>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</si>
  <si>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</si>
  <si>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</si>
  <si>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</si>
  <si>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</si>
  <si>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</si>
  <si>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</si>
  <si>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</si>
  <si>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</si>
  <si>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</si>
  <si>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</si>
  <si>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</si>
  <si>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</si>
  <si>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</si>
  <si>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</si>
  <si>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</si>
  <si>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</si>
  <si>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</si>
  <si>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</si>
  <si>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</si>
  <si>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</si>
  <si>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</si>
  <si>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</si>
  <si>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</si>
  <si>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</si>
  <si>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</si>
  <si>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</si>
  <si>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</si>
  <si>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</si>
  <si>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</si>
  <si>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</si>
  <si>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</si>
  <si>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</si>
  <si>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</si>
  <si>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</si>
  <si>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</si>
  <si>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</si>
  <si>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</si>
  <si>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</si>
  <si>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</si>
  <si>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</si>
  <si>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</si>
  <si>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</si>
  <si>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</si>
  <si>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</si>
  <si>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</si>
  <si>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</si>
  <si>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</si>
  <si>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</si>
  <si>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</si>
  <si>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</si>
  <si>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</si>
  <si>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</si>
  <si>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</si>
  <si>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</si>
  <si>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</si>
  <si>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</si>
  <si>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</si>
  <si>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</si>
  <si>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</si>
  <si>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</si>
  <si>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</si>
  <si>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</si>
  <si>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</si>
  <si>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</si>
  <si>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</si>
  <si>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</si>
  <si>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</si>
  <si>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</si>
  <si>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</si>
  <si>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</si>
  <si>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</si>
  <si>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</si>
  <si>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</si>
  <si>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</si>
  <si>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</si>
  <si>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</si>
  <si>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</si>
  <si>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</si>
  <si>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</si>
  <si>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</si>
  <si>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</si>
  <si>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</si>
  <si>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</si>
  <si>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</si>
  <si>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</si>
  <si>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</si>
  <si>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</si>
  <si>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</si>
  <si>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</si>
  <si>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</si>
  <si>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</si>
  <si>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</si>
  <si>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</si>
  <si>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</si>
  <si>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</si>
  <si>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</si>
  <si>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</si>
  <si>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</si>
  <si>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</si>
  <si>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</si>
  <si>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</si>
  <si>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</si>
  <si>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</si>
  <si>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</si>
  <si>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</si>
  <si>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</si>
  <si>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</si>
  <si>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</si>
  <si>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</si>
  <si>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</si>
  <si>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</si>
  <si>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</si>
  <si>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</si>
  <si>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</si>
  <si>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</si>
  <si>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</si>
  <si>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</si>
  <si>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</si>
  <si>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</si>
  <si>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</si>
  <si>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</si>
  <si>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</si>
  <si>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</si>
  <si>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</si>
  <si>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</si>
  <si>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</si>
  <si>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</si>
  <si>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</si>
  <si>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</si>
  <si>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</si>
  <si>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</si>
  <si>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</si>
  <si>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</si>
  <si>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</si>
  <si>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</si>
  <si>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</si>
  <si>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</si>
  <si>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</si>
  <si>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</si>
  <si>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</si>
  <si>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</si>
  <si>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</si>
  <si>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</si>
  <si>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</si>
  <si>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</si>
  <si>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</si>
  <si>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</si>
  <si>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</si>
  <si>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</si>
  <si>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</si>
  <si>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</si>
  <si>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</si>
  <si>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</si>
  <si>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</si>
  <si>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</si>
  <si>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</si>
  <si>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</si>
  <si>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</si>
  <si>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</si>
  <si>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</si>
  <si>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</si>
  <si>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</si>
  <si>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</si>
  <si>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</si>
  <si>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</si>
  <si>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</si>
  <si>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</si>
  <si>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</si>
  <si>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</si>
  <si>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</si>
  <si>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</si>
  <si>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</si>
  <si>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</si>
  <si>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</si>
  <si>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</si>
  <si>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</si>
  <si>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</si>
  <si>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</si>
  <si>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</si>
  <si>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</si>
  <si>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</si>
  <si>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</si>
  <si>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</si>
  <si>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</si>
  <si>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</si>
  <si>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</si>
  <si>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</si>
  <si>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</si>
  <si>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</si>
  <si>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</si>
  <si>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</si>
  <si>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</si>
  <si>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</si>
  <si>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</si>
  <si>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</si>
  <si>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</si>
  <si>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</si>
  <si>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</si>
  <si>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</si>
  <si>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</si>
  <si>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</si>
  <si>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</si>
  <si>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</si>
  <si>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</si>
  <si>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</si>
  <si>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</si>
  <si>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</si>
  <si>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</si>
  <si>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</si>
  <si>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</si>
  <si>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</si>
  <si>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</si>
  <si>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</si>
  <si>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</si>
  <si>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</si>
  <si>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</si>
  <si>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</si>
  <si>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</si>
  <si>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</si>
  <si>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</si>
  <si>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</si>
  <si>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</si>
  <si>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</si>
  <si>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</si>
  <si>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</si>
  <si>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</si>
  <si>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</si>
  <si>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</si>
  <si>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</si>
  <si>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</si>
  <si>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</si>
  <si>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</si>
  <si>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</si>
  <si>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</si>
  <si>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</si>
  <si>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</si>
  <si>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</si>
  <si>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</si>
  <si>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</si>
  <si>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</si>
  <si>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</si>
  <si>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</si>
  <si>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</si>
  <si>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</si>
  <si>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</si>
  <si>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</si>
  <si>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</si>
  <si>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</si>
  <si>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</si>
  <si>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</si>
  <si>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</si>
  <si>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</si>
  <si>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</si>
  <si>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</si>
  <si>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</si>
  <si>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</si>
  <si>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</si>
  <si>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</si>
  <si>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</si>
  <si>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</si>
  <si>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</si>
  <si>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</si>
  <si>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</si>
  <si>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</si>
  <si>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</si>
  <si>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</si>
  <si>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</si>
  <si>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</si>
  <si>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</si>
  <si>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</si>
  <si>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</si>
  <si>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</si>
  <si>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</si>
  <si>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</si>
  <si>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</si>
  <si>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</si>
  <si>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</si>
  <si>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</si>
  <si>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</si>
  <si>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</si>
  <si>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</si>
  <si>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</si>
  <si>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</si>
  <si>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</si>
  <si>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</si>
  <si>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</si>
  <si>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</si>
  <si>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</si>
  <si>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</si>
  <si>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</si>
  <si>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</si>
  <si>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</si>
  <si>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</si>
  <si>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</si>
  <si>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</si>
  <si>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</si>
  <si>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</si>
  <si>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</si>
  <si>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</si>
  <si>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</si>
  <si>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</si>
  <si>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</si>
  <si>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</si>
  <si>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</si>
  <si>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</si>
  <si>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</si>
  <si>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</si>
  <si>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</si>
  <si>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</si>
  <si>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</si>
  <si>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</si>
  <si>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</si>
  <si>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</si>
  <si>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</si>
  <si>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</si>
  <si>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</si>
  <si>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</si>
  <si>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</si>
  <si>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</si>
  <si>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</si>
  <si>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</si>
  <si>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</si>
  <si>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</si>
  <si>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</si>
  <si>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</si>
  <si>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</si>
  <si>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</si>
  <si>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</si>
  <si>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</si>
  <si>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</si>
  <si>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</si>
  <si>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</si>
  <si>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</si>
  <si>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</si>
  <si>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</si>
  <si>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</si>
  <si>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</si>
  <si>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</si>
  <si>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</si>
  <si>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</si>
  <si>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</si>
  <si>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</si>
  <si>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</si>
  <si>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</si>
  <si>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</si>
  <si>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</si>
  <si>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</si>
  <si>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</si>
  <si>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</si>
  <si>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</si>
  <si>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</si>
  <si>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</si>
  <si>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</si>
  <si>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</si>
  <si>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</si>
  <si>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</si>
  <si>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</si>
  <si>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</si>
  <si>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</si>
  <si>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</si>
  <si>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</si>
  <si>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</si>
  <si>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</si>
  <si>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</si>
  <si>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</si>
  <si>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</si>
  <si>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</si>
  <si>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</si>
  <si>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</si>
  <si>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</si>
  <si>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</si>
  <si>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</si>
  <si>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</si>
  <si>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</si>
  <si>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</si>
  <si>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</si>
  <si>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</si>
  <si>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</si>
  <si>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</si>
  <si>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</si>
  <si>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</si>
  <si>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</si>
  <si>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</si>
  <si>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</si>
  <si>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</si>
  <si>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</si>
  <si>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</si>
  <si>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</si>
  <si>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</si>
  <si>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</si>
  <si>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</si>
  <si>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</si>
  <si>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</si>
  <si>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</si>
  <si>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</si>
  <si>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</si>
  <si>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</si>
  <si>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</si>
  <si>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</si>
  <si>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</si>
  <si>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</si>
  <si>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</si>
  <si>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</si>
  <si>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</si>
  <si>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</si>
  <si>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</si>
  <si>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</si>
  <si>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</si>
  <si>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</si>
  <si>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</si>
  <si>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</si>
  <si>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</si>
  <si>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</si>
  <si>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</si>
  <si>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</si>
  <si>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</si>
  <si>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</si>
  <si>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</si>
  <si>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</si>
  <si>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</si>
  <si>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</si>
  <si>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</si>
  <si>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</si>
  <si>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</si>
  <si>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</si>
  <si>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</si>
  <si>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</si>
  <si>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</si>
  <si>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</si>
  <si>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</si>
  <si>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</si>
  <si>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</si>
  <si>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</si>
  <si>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</si>
  <si>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</si>
  <si>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</si>
  <si>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</si>
  <si>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</si>
  <si>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</si>
  <si>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</si>
  <si>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</si>
  <si>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</si>
  <si>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</si>
  <si>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</si>
  <si>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</si>
  <si>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</si>
  <si>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</si>
  <si>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</si>
  <si>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</si>
  <si>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</si>
  <si>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</si>
  <si>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</si>
  <si>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</si>
  <si>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</si>
  <si>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</si>
  <si>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</si>
  <si>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</si>
  <si>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</si>
  <si>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</si>
  <si>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</si>
  <si>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</si>
  <si>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</si>
  <si>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</si>
  <si>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</si>
  <si>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</si>
  <si>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</si>
  <si>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</si>
  <si>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</si>
  <si>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</si>
  <si>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</si>
  <si>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</si>
  <si>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</si>
  <si>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</si>
  <si>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</si>
  <si>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</si>
  <si>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</si>
  <si>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</si>
  <si>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</si>
  <si>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</si>
  <si>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</si>
  <si>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</si>
  <si>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</si>
  <si>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</si>
  <si>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</si>
  <si>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</si>
  <si>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</si>
  <si>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</si>
  <si>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</si>
  <si>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</si>
  <si>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</si>
  <si>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</si>
  <si>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</si>
  <si>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</si>
  <si>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</si>
  <si>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</si>
  <si>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</si>
  <si>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</si>
  <si>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</si>
  <si>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</si>
  <si>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</si>
  <si>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</si>
  <si>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</si>
  <si>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</si>
  <si>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</si>
  <si>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</si>
  <si>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</si>
  <si>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</si>
  <si>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</si>
  <si>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</si>
  <si>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</si>
  <si>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</si>
  <si>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</si>
  <si>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</si>
  <si>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</si>
  <si>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</si>
  <si>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</si>
  <si>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</si>
  <si>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</si>
  <si>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</si>
  <si>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</si>
  <si>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</si>
  <si>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</si>
  <si>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</si>
  <si>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</si>
  <si>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</si>
  <si>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</si>
  <si>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</si>
  <si>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</si>
  <si>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</si>
  <si>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</si>
  <si>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</si>
  <si>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</si>
  <si>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</si>
  <si>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</si>
  <si>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</si>
  <si>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</si>
  <si>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</si>
  <si>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</si>
  <si>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</si>
  <si>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</si>
  <si>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</si>
  <si>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</si>
  <si>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</si>
  <si>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</si>
  <si>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</si>
  <si>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</si>
  <si>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</si>
  <si>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</si>
  <si>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</si>
  <si>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</si>
  <si>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</si>
  <si>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</si>
  <si>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</si>
  <si>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</si>
  <si>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</si>
  <si>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</si>
  <si>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</si>
  <si>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</si>
  <si>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</si>
  <si>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</si>
  <si>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</si>
  <si>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</si>
  <si>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</si>
  <si>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</si>
  <si>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</si>
  <si>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</si>
  <si>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</si>
  <si>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</si>
  <si>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</si>
  <si>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</si>
  <si>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</si>
  <si>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</si>
  <si>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</si>
  <si>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</si>
  <si>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</si>
  <si>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</si>
  <si>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</si>
  <si>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</si>
  <si>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</si>
  <si>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</si>
  <si>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</si>
  <si>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</si>
  <si>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</si>
  <si>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</si>
  <si>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</si>
  <si>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</si>
  <si>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</si>
  <si>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</si>
  <si>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</si>
  <si>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</si>
  <si>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</si>
  <si>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</si>
  <si>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</si>
  <si>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</si>
  <si>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</si>
  <si>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</si>
  <si>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</si>
  <si>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</si>
  <si>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</si>
  <si>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</si>
  <si>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</si>
  <si>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</si>
  <si>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</si>
  <si>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</si>
  <si>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</si>
  <si>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</si>
  <si>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</si>
  <si>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</si>
  <si>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</si>
  <si>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</si>
  <si>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</si>
  <si>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</si>
  <si>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</si>
  <si>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</si>
  <si>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</si>
  <si>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</si>
  <si>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</si>
  <si>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</si>
  <si>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</si>
  <si>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</si>
  <si>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</si>
  <si>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</si>
  <si>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</si>
  <si>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</si>
  <si>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</si>
  <si>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</si>
  <si>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</si>
  <si>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</si>
  <si>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</si>
  <si>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</si>
  <si>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</si>
  <si>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</si>
  <si>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</si>
  <si>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</si>
  <si>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</si>
  <si>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</si>
  <si>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</si>
  <si>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</si>
  <si>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</si>
  <si>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</si>
  <si>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</si>
  <si>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</si>
  <si>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</si>
  <si>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</si>
  <si>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</si>
  <si>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</si>
  <si>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</si>
  <si>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</si>
  <si>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</si>
  <si>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</si>
  <si>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</si>
  <si>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</si>
  <si>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</si>
  <si>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</si>
  <si>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</si>
  <si>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</si>
  <si>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</si>
  <si>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</si>
  <si>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</si>
  <si>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</si>
  <si>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</si>
  <si>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</si>
  <si>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</si>
  <si>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</si>
  <si>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</si>
  <si>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</si>
  <si>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</si>
  <si>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</si>
  <si>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</si>
  <si>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</si>
  <si>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</si>
  <si>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</si>
  <si>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</si>
  <si>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</si>
  <si>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</si>
  <si>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</si>
  <si>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</si>
  <si>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</si>
  <si>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</si>
  <si>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</si>
  <si>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</si>
  <si>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</si>
  <si>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</si>
  <si>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</si>
  <si>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</si>
  <si>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</si>
  <si>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</si>
  <si>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</si>
  <si>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</si>
  <si>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</si>
  <si>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</si>
  <si>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</si>
  <si>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</si>
  <si>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</si>
  <si>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</si>
  <si>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</si>
  <si>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</si>
  <si>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</si>
  <si>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</si>
  <si>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</si>
  <si>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</si>
  <si>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</si>
  <si>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</si>
  <si>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</si>
  <si>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</si>
  <si>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</si>
  <si>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</si>
  <si>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</si>
  <si>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</si>
  <si>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</si>
  <si>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</si>
  <si>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</si>
  <si>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</si>
  <si>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</si>
  <si>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</si>
  <si>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</si>
  <si>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</si>
  <si>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</si>
  <si>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</si>
  <si>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</si>
  <si>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</si>
  <si>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</si>
  <si>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</si>
  <si>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</si>
  <si>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</si>
  <si>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</si>
  <si>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</si>
  <si>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</si>
  <si>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</si>
  <si>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</si>
  <si>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</si>
  <si>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</si>
  <si>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</si>
  <si>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</si>
  <si>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</si>
  <si>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</si>
  <si>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</si>
  <si>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</si>
  <si>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</si>
  <si>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</si>
  <si>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</si>
  <si>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</si>
  <si>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</si>
  <si>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</si>
  <si>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</si>
  <si>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</si>
  <si>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</si>
  <si>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</si>
  <si>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</si>
  <si>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</si>
  <si>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</si>
  <si>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</si>
  <si>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</si>
  <si>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</si>
  <si>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</si>
  <si>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</si>
  <si>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</si>
  <si>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</si>
  <si>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</si>
  <si>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</si>
  <si>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</si>
  <si>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</si>
  <si>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</si>
  <si>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</si>
  <si>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</si>
  <si>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</si>
  <si>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</si>
  <si>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</si>
  <si>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</si>
  <si>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</si>
  <si>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</si>
  <si>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</si>
  <si>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</si>
  <si>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</si>
  <si>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</si>
  <si>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</si>
  <si>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</si>
  <si>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</si>
  <si>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</si>
  <si>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</si>
  <si>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</si>
  <si>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</si>
  <si>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</si>
  <si>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</si>
  <si>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</si>
  <si>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</si>
  <si>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</si>
  <si>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</si>
  <si>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</si>
  <si>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</si>
  <si>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</si>
  <si>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</si>
  <si>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</si>
  <si>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</si>
  <si>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</si>
  <si>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</si>
  <si>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</si>
  <si>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</si>
  <si>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</si>
  <si>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</si>
  <si>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</si>
  <si>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</si>
  <si>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</si>
  <si>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</si>
  <si>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</si>
  <si>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</si>
  <si>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</si>
  <si>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</si>
  <si>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</si>
  <si>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</si>
  <si>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</si>
  <si>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</si>
  <si>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</si>
  <si>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</si>
  <si>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</si>
  <si>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</si>
  <si>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</si>
  <si>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</si>
  <si>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</si>
  <si>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</si>
  <si>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</si>
  <si>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</si>
  <si>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</si>
  <si>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</si>
  <si>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</si>
  <si>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</si>
  <si>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</si>
  <si>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</si>
  <si>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</si>
  <si>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</si>
  <si>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</si>
  <si>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</si>
  <si>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</si>
  <si>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</si>
  <si>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</si>
  <si>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</si>
  <si>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</si>
  <si>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</si>
  <si>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</si>
  <si>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</si>
  <si>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</si>
  <si>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</si>
  <si>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</si>
  <si>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</si>
  <si>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</si>
  <si>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</si>
  <si>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</si>
  <si>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</si>
  <si>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</si>
  <si>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</si>
  <si>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</si>
  <si>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</si>
  <si>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</si>
  <si>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</si>
  <si>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</si>
  <si>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</si>
  <si>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</si>
  <si>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</si>
  <si>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</si>
  <si>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</si>
  <si>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</si>
  <si>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</si>
  <si>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</si>
  <si>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</si>
  <si>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</si>
  <si>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</si>
  <si>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</si>
  <si>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</si>
  <si>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</si>
  <si>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</si>
  <si>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</si>
  <si>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</si>
  <si>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</si>
  <si>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</si>
  <si>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</si>
  <si>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</si>
  <si>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</si>
  <si>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</si>
  <si>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</si>
  <si>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</si>
  <si>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</si>
  <si>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</si>
  <si>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</si>
  <si>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</si>
  <si>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</si>
  <si>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</si>
  <si>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</si>
  <si>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</si>
  <si>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</si>
  <si>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</si>
  <si>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</si>
  <si>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</si>
  <si>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</si>
  <si>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</si>
  <si>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</si>
  <si>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</si>
  <si>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</si>
  <si>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</si>
  <si>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</si>
  <si>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</si>
  <si>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</si>
  <si>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</si>
  <si>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</si>
  <si>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</si>
  <si>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</si>
  <si>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</si>
  <si>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</si>
  <si>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</si>
  <si>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</si>
  <si>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</si>
  <si>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</si>
  <si>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</si>
  <si>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</si>
  <si>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</si>
  <si>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</si>
  <si>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</si>
  <si>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</si>
  <si>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</si>
  <si>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</si>
  <si>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</si>
  <si>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</si>
  <si>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</si>
  <si>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</si>
  <si>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</si>
  <si>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</si>
  <si>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</si>
  <si>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</si>
  <si>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</si>
  <si>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</si>
  <si>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</si>
  <si>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</si>
  <si>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</si>
  <si>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</si>
  <si>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</si>
  <si>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</si>
  <si>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</si>
  <si>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</si>
  <si>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</si>
  <si>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</si>
  <si>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</si>
  <si>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</si>
  <si>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</si>
  <si>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</si>
  <si>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</si>
  <si>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</si>
  <si>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</si>
  <si>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</si>
  <si>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</si>
  <si>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</si>
  <si>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</si>
  <si>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</si>
  <si>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</si>
  <si>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</si>
  <si>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</si>
  <si>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</si>
  <si>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</si>
  <si>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</si>
  <si>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</si>
  <si>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</si>
  <si>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</si>
  <si>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</si>
  <si>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</si>
  <si>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</si>
  <si>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</si>
  <si>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</si>
  <si>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</si>
  <si>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</si>
  <si>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</si>
  <si>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</si>
  <si>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</si>
  <si>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</si>
  <si>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</si>
  <si>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</si>
  <si>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</si>
  <si>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</si>
  <si>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</si>
  <si>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</si>
  <si>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</si>
  <si>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</si>
  <si>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</si>
  <si>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</si>
  <si>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</si>
  <si>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</si>
  <si>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</si>
  <si>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</si>
  <si>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</si>
  <si>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</si>
  <si>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</si>
  <si>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</si>
  <si>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</si>
  <si>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</si>
  <si>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</si>
  <si>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</si>
  <si>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</si>
  <si>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</si>
  <si>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</si>
  <si>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</si>
  <si>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</si>
  <si>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</si>
  <si>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</si>
  <si>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</si>
  <si>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</si>
  <si>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</si>
  <si>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</si>
  <si>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</si>
  <si>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</si>
  <si>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</si>
  <si>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</si>
  <si>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</si>
  <si>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</si>
  <si>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</si>
  <si>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</si>
  <si>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</si>
  <si>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</si>
  <si>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</si>
  <si>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</si>
  <si>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</si>
  <si>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</si>
  <si>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</si>
  <si>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</si>
  <si>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</si>
  <si>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</si>
  <si>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</si>
  <si>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</si>
  <si>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</si>
  <si>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</si>
  <si>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</si>
  <si>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</si>
  <si>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</si>
  <si>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</si>
  <si>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</si>
  <si>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</si>
  <si>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</si>
  <si>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</si>
  <si>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</si>
  <si>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</si>
  <si>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</si>
  <si>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</si>
  <si>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</si>
  <si>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</si>
  <si>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</si>
  <si>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</si>
  <si>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</si>
  <si>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</si>
  <si>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</si>
  <si>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</si>
  <si>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</si>
  <si>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</si>
  <si>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</si>
  <si>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</si>
  <si>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</si>
  <si>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</si>
  <si>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</si>
  <si>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</si>
  <si>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</si>
  <si>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</si>
  <si>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</si>
  <si>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</si>
  <si>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</si>
  <si>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</si>
  <si>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</si>
  <si>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</si>
  <si>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</si>
  <si>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</si>
  <si>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</si>
  <si>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</si>
  <si>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</si>
  <si>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</si>
  <si>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</si>
  <si>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</si>
  <si>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</si>
  <si>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</si>
  <si>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</si>
  <si>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</si>
  <si>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</si>
  <si>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</si>
  <si>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</si>
  <si>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</si>
  <si>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</si>
  <si>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</si>
  <si>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</si>
  <si>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</si>
  <si>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</si>
  <si>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</si>
  <si>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</si>
  <si>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</si>
  <si>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</si>
  <si>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</si>
  <si>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</si>
  <si>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</si>
  <si>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</si>
  <si>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</si>
  <si>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</si>
  <si>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</si>
  <si>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</si>
  <si>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</si>
  <si>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</si>
  <si>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</si>
  <si>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</si>
  <si>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</si>
  <si>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</si>
  <si>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</si>
  <si>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</si>
  <si>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</si>
  <si>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</si>
  <si>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</si>
  <si>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</si>
  <si>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</si>
  <si>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</si>
  <si>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</si>
  <si>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</si>
  <si>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</si>
  <si>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</si>
  <si>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</si>
  <si>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</si>
  <si>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</si>
  <si>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</si>
  <si>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</si>
  <si>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</si>
  <si>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</si>
  <si>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</si>
  <si>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</si>
  <si>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</si>
  <si>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</si>
  <si>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</si>
  <si>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</si>
  <si>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</si>
  <si>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</si>
  <si>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</si>
  <si>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</si>
  <si>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</si>
  <si>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</si>
  <si>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</si>
  <si>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</si>
  <si>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</si>
  <si>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</si>
  <si>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</si>
  <si>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</si>
  <si>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</si>
  <si>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</si>
  <si>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</si>
  <si>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</si>
  <si>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</si>
  <si>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</si>
  <si>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</si>
  <si>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</si>
  <si>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</si>
  <si>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</si>
  <si>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</si>
  <si>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</si>
  <si>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</si>
  <si>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</si>
  <si>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</si>
  <si>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</si>
  <si>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</si>
  <si>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</si>
  <si>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</si>
  <si>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</si>
  <si>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</si>
  <si>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</si>
  <si>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</si>
  <si>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</si>
  <si>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</si>
  <si>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</si>
  <si>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</si>
  <si>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</si>
  <si>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</si>
  <si>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</si>
  <si>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</si>
  <si>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</si>
  <si>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</si>
  <si>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</si>
  <si>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</si>
  <si>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</si>
  <si>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</si>
  <si>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</si>
  <si>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</si>
  <si>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</si>
  <si>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</si>
  <si>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</si>
  <si>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</si>
  <si>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</si>
  <si>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</si>
  <si>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</si>
  <si>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</si>
  <si>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</si>
  <si>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</si>
  <si>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</si>
  <si>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</si>
  <si>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</si>
  <si>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</si>
  <si>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</si>
  <si>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</si>
  <si>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</si>
  <si>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</si>
  <si>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</si>
  <si>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</si>
  <si>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</si>
  <si>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</si>
  <si>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</si>
  <si>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</si>
  <si>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</si>
  <si>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</si>
  <si>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</si>
  <si>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</si>
  <si>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</si>
  <si>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</si>
  <si>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</si>
  <si>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</si>
  <si>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</si>
  <si>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</si>
  <si>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</si>
  <si>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</si>
  <si>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</si>
  <si>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</si>
  <si>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</si>
  <si>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</si>
  <si>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</si>
  <si>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</si>
  <si>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</si>
  <si>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</si>
  <si>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</si>
  <si>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</si>
  <si>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</si>
  <si>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</si>
  <si>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</si>
  <si>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</si>
  <si>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</si>
  <si>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</si>
  <si>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</si>
  <si>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</si>
  <si>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</si>
  <si>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</si>
  <si>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</si>
  <si>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</si>
  <si>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</si>
  <si>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</si>
  <si>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</si>
  <si>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</si>
  <si>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</si>
  <si>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</si>
  <si>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</si>
  <si>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</si>
  <si>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</si>
  <si>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</si>
  <si>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</si>
  <si>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</si>
  <si>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</si>
  <si>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</si>
  <si>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</si>
  <si>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</si>
  <si>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</si>
  <si>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</si>
  <si>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</si>
  <si>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</si>
  <si>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</si>
  <si>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</si>
  <si>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</si>
  <si>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</si>
  <si>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</si>
  <si>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</si>
  <si>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</si>
  <si>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</si>
  <si>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</si>
  <si>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</si>
  <si>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</si>
  <si>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</si>
  <si>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</si>
  <si>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</si>
  <si>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</si>
  <si>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</si>
  <si>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</si>
  <si>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</si>
  <si>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</si>
  <si>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</si>
  <si>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</si>
  <si>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</si>
  <si>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</si>
  <si>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</si>
  <si>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</si>
  <si>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</si>
  <si>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</si>
  <si>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</si>
  <si>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</si>
  <si>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</si>
  <si>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</si>
  <si>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</si>
  <si>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</si>
  <si>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</si>
  <si>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</si>
  <si>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</si>
  <si>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</si>
  <si>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</si>
  <si>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</si>
  <si>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</si>
  <si>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</si>
  <si>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</si>
  <si>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</si>
  <si>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</si>
  <si>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</si>
  <si>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</si>
  <si>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</si>
  <si>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</si>
  <si>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</si>
  <si>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</si>
  <si>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</si>
  <si>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</si>
  <si>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</si>
  <si>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</si>
  <si>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</si>
  <si>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</si>
  <si>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</si>
  <si>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</si>
  <si>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</si>
  <si>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</si>
  <si>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</si>
  <si>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</si>
  <si>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</si>
  <si>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</si>
  <si>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</si>
  <si>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</si>
  <si>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</si>
  <si>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</si>
  <si>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</si>
  <si>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</si>
  <si>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</si>
  <si>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</si>
  <si>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</si>
  <si>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</si>
  <si>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</si>
  <si>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</si>
  <si>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</si>
  <si>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</si>
  <si>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</si>
  <si>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</si>
  <si>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</si>
  <si>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</si>
  <si>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</si>
  <si>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</si>
  <si>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</si>
  <si>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</si>
  <si>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</si>
  <si>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</si>
  <si>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</si>
  <si>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</si>
  <si>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</si>
  <si>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</si>
  <si>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</si>
  <si>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</si>
  <si>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</si>
  <si>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</si>
  <si>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</si>
  <si>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</si>
  <si>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</si>
  <si>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</si>
  <si>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</si>
  <si>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</si>
  <si>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</si>
  <si>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</si>
  <si>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</si>
  <si>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</si>
  <si>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</si>
  <si>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</si>
  <si>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</si>
  <si>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</si>
  <si>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</si>
  <si>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</si>
  <si>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</si>
  <si>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</si>
  <si>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</si>
  <si>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</si>
  <si>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</si>
  <si>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</si>
  <si>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</si>
  <si>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</si>
  <si>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</si>
  <si>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</si>
  <si>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</si>
  <si>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</si>
  <si>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</si>
  <si>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</si>
  <si>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</si>
  <si>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</si>
  <si>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</si>
  <si>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</si>
  <si>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</si>
  <si>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</si>
  <si>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</si>
  <si>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</si>
  <si>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</si>
  <si>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</si>
  <si>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</si>
  <si>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</si>
  <si>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</si>
  <si>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</si>
  <si>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</si>
  <si>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</si>
  <si>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</si>
  <si>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</si>
  <si>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</si>
  <si>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</si>
  <si>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</si>
  <si>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</si>
  <si>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</si>
  <si>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</si>
  <si>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</si>
  <si>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</si>
  <si>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</si>
  <si>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</si>
  <si>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</si>
  <si>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</si>
  <si>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</si>
  <si>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</si>
  <si>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</si>
  <si>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</si>
  <si>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</si>
  <si>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</si>
  <si>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</si>
  <si>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</si>
  <si>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</si>
  <si>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</si>
  <si>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</si>
  <si>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</si>
  <si>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</si>
  <si>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</si>
  <si>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</si>
  <si>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</si>
  <si>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</si>
  <si>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</si>
  <si>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</si>
  <si>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</si>
  <si>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</si>
  <si>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</si>
  <si>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</si>
  <si>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</si>
  <si>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</si>
  <si>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</si>
  <si>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</si>
  <si>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</si>
  <si>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</si>
  <si>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</si>
  <si>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</si>
  <si>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</si>
  <si>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</si>
  <si>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</si>
  <si>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</si>
  <si>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</si>
  <si>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</si>
  <si>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</si>
  <si>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</si>
  <si>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</si>
  <si>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</si>
  <si>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</si>
  <si>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</si>
  <si>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</si>
  <si>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</si>
  <si>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</si>
  <si>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</si>
  <si>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</si>
  <si>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</si>
  <si>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</si>
  <si>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</si>
  <si>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</si>
  <si>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</si>
  <si>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</si>
  <si>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</si>
  <si>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</si>
  <si>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</si>
  <si>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</si>
  <si>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</si>
  <si>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</si>
  <si>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</si>
  <si>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</si>
  <si>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</si>
  <si>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</si>
  <si>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</si>
  <si>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</si>
  <si>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</si>
  <si>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</si>
  <si>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</si>
  <si>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</si>
  <si>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</si>
  <si>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</si>
  <si>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</si>
  <si>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</si>
  <si>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</si>
  <si>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</si>
  <si>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</si>
  <si>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</si>
  <si>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</si>
  <si>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</si>
  <si>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</si>
  <si>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</si>
  <si>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</si>
  <si>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</si>
  <si>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</si>
  <si>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</si>
  <si>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</si>
  <si>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</si>
  <si>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</si>
  <si>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</si>
  <si>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</si>
  <si>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</si>
  <si>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</si>
  <si>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</si>
  <si>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</si>
  <si>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</si>
  <si>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</si>
  <si>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</si>
  <si>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</si>
  <si>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</si>
  <si>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</si>
  <si>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</si>
  <si>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</si>
  <si>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</si>
  <si>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</si>
  <si>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</si>
  <si>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</si>
  <si>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</si>
  <si>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</si>
  <si>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</si>
  <si>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</si>
  <si>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</si>
  <si>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</si>
  <si>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</si>
  <si>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</si>
  <si>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</si>
  <si>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</si>
  <si>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</si>
  <si>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</si>
  <si>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</si>
  <si>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</si>
  <si>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</si>
  <si>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</si>
  <si>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</si>
  <si>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</si>
  <si>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</si>
  <si>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</si>
  <si>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</si>
  <si>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</si>
  <si>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</si>
  <si>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</si>
  <si>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</si>
  <si>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</si>
  <si>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</si>
  <si>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</si>
  <si>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</si>
  <si>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</si>
  <si>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</si>
  <si>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</si>
  <si>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</si>
  <si>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</si>
  <si>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</si>
  <si>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</si>
  <si>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</si>
  <si>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</si>
  <si>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</si>
  <si>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</si>
  <si>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</si>
  <si>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</si>
  <si>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</si>
  <si>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</si>
  <si>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</si>
  <si>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</si>
  <si>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</si>
  <si>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</si>
  <si>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</si>
  <si>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</si>
  <si>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</si>
  <si>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</si>
  <si>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</si>
  <si>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</si>
  <si>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</si>
  <si>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</si>
  <si>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</si>
  <si>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</si>
  <si>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</si>
  <si>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</si>
  <si>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</si>
  <si>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</si>
  <si>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</si>
  <si>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</si>
  <si>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</si>
  <si>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</si>
  <si>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</si>
  <si>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</si>
  <si>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</si>
  <si>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</si>
  <si>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</si>
  <si>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</si>
  <si>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</si>
  <si>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</si>
  <si>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</si>
  <si>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</si>
  <si>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</si>
  <si>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</si>
  <si>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</si>
  <si>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</si>
  <si>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</si>
  <si>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</si>
  <si>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</si>
  <si>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</si>
  <si>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</si>
  <si>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</si>
  <si>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</si>
  <si>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</si>
  <si>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</si>
  <si>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</si>
  <si>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</si>
  <si>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</si>
  <si>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</si>
  <si>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</si>
  <si>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</si>
  <si>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</si>
  <si>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</si>
  <si>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</si>
  <si>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</si>
  <si>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</si>
  <si>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</si>
  <si>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</si>
  <si>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</si>
  <si>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</si>
  <si>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</si>
  <si>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</si>
  <si>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</si>
  <si>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</si>
  <si>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</si>
  <si>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</si>
  <si>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</si>
  <si>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</si>
  <si>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</si>
  <si>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</si>
  <si>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</si>
  <si>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</si>
  <si>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</si>
  <si>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</si>
  <si>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</si>
  <si>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</si>
  <si>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</si>
  <si>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</si>
  <si>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</si>
  <si>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</si>
  <si>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</si>
  <si>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</si>
  <si>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</si>
  <si>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</si>
  <si>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</si>
  <si>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</si>
  <si>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</si>
  <si>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</si>
  <si>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</si>
  <si>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</si>
  <si>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</si>
  <si>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</si>
  <si>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</si>
  <si>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</si>
  <si>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</si>
  <si>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</si>
  <si>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</si>
  <si>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</si>
  <si>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</si>
  <si>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</si>
  <si>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</si>
  <si>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</si>
  <si>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</si>
  <si>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</si>
  <si>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</si>
  <si>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</si>
  <si>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</si>
  <si>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</si>
  <si>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</si>
  <si>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</si>
  <si>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</si>
  <si>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</si>
  <si>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</si>
  <si>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</si>
  <si>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</si>
  <si>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</si>
  <si>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</si>
  <si>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</si>
  <si>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</si>
  <si>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</si>
  <si>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</si>
  <si>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</si>
  <si>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</si>
  <si>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</si>
  <si>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</si>
  <si>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</si>
  <si>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</si>
  <si>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</si>
  <si>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</si>
  <si>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</si>
  <si>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</si>
  <si>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</si>
  <si>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</si>
  <si>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</si>
  <si>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</si>
  <si>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</si>
  <si>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</si>
  <si>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</si>
  <si>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</si>
  <si>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</si>
  <si>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</si>
  <si>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</si>
  <si>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</si>
  <si>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</si>
  <si>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</si>
  <si>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</si>
  <si>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</si>
  <si>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</si>
  <si>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</si>
  <si>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</si>
  <si>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</si>
  <si>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</si>
  <si>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</si>
  <si>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</si>
  <si>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</si>
  <si>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</si>
  <si>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</si>
  <si>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</si>
  <si>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</si>
  <si>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</si>
  <si>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</si>
  <si>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</si>
  <si>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</si>
  <si>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</si>
  <si>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</si>
  <si>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</si>
  <si>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</si>
  <si>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</si>
  <si>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</si>
  <si>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</si>
  <si>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</si>
  <si>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</si>
  <si>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</si>
  <si>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</si>
  <si>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</si>
  <si>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</si>
  <si>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</si>
  <si>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</si>
  <si>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</si>
  <si>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</si>
  <si>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</si>
  <si>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</si>
  <si>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</si>
  <si>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</si>
  <si>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</si>
  <si>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</si>
  <si>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</si>
  <si>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</si>
  <si>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</si>
  <si>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</si>
  <si>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</si>
  <si>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</si>
  <si>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</si>
  <si>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</si>
  <si>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</si>
  <si>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</si>
  <si>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</si>
  <si>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</si>
  <si>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</si>
  <si>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</si>
  <si>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</si>
  <si>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</si>
  <si>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</si>
  <si>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</si>
  <si>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</si>
  <si>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</si>
  <si>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</si>
  <si>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</si>
  <si>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</si>
  <si>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</si>
  <si>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</si>
  <si>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</si>
  <si>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</si>
  <si>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</si>
  <si>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</si>
  <si>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</si>
  <si>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</si>
  <si>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</si>
  <si>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</si>
  <si>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</si>
  <si>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</si>
  <si>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</si>
  <si>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</si>
  <si>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</si>
  <si>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</si>
  <si>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</si>
  <si>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</si>
  <si>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</si>
  <si>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</si>
  <si>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</si>
  <si>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</si>
  <si>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</si>
  <si>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</si>
  <si>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</si>
  <si>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</si>
  <si>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</si>
  <si>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</si>
  <si>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</si>
  <si>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</si>
  <si>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</si>
  <si>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</si>
  <si>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</si>
  <si>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</si>
  <si>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</si>
  <si>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</si>
  <si>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</si>
  <si>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</si>
  <si>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</si>
  <si>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</si>
  <si>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</si>
  <si>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</si>
  <si>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</si>
  <si>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</si>
  <si>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</si>
  <si>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</si>
  <si>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</si>
  <si>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</si>
  <si>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</si>
  <si>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</si>
  <si>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</si>
  <si>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</si>
  <si>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</si>
  <si>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</si>
  <si>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</si>
  <si>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</si>
  <si>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</si>
  <si>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</si>
  <si>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</si>
  <si>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</si>
  <si>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</si>
  <si>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</si>
  <si>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</si>
  <si>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</si>
  <si>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</si>
  <si>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</si>
  <si>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</si>
  <si>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</si>
  <si>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</si>
  <si>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</si>
  <si>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</si>
  <si>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</si>
  <si>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</si>
  <si>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</si>
  <si>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</si>
  <si>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</si>
  <si>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</si>
  <si>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</si>
  <si>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</si>
  <si>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</si>
  <si>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</si>
  <si>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</si>
  <si>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</si>
  <si>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</si>
  <si>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</si>
  <si>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</si>
  <si>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</si>
  <si>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</si>
  <si>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</si>
  <si>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</si>
  <si>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</si>
  <si>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</si>
  <si>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</si>
  <si>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</si>
  <si>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</si>
  <si>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</si>
  <si>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</si>
  <si>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</si>
  <si>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</si>
  <si>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</si>
  <si>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</si>
  <si>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</si>
  <si>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</si>
  <si>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</si>
  <si>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</si>
  <si>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</si>
  <si>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</si>
  <si>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</si>
  <si>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</si>
  <si>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</si>
  <si>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</si>
  <si>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</si>
  <si>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</si>
  <si>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</si>
  <si>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</si>
  <si>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</si>
  <si>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</si>
  <si>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</si>
  <si>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</si>
  <si>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</si>
  <si>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</si>
  <si>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</si>
  <si>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</si>
  <si>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</si>
  <si>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</si>
  <si>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</si>
  <si>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</si>
  <si>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</si>
  <si>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</si>
  <si>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</si>
  <si>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</si>
  <si>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</si>
  <si>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</si>
  <si>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</si>
  <si>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</si>
  <si>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</si>
  <si>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</si>
  <si>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</si>
  <si>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</si>
  <si>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</si>
  <si>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</si>
  <si>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</si>
  <si>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</si>
  <si>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</si>
  <si>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</si>
  <si>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</si>
  <si>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</si>
  <si>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</si>
  <si>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</si>
  <si>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</si>
  <si>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</si>
  <si>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</si>
  <si>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</si>
  <si>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</si>
  <si>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</si>
  <si>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</si>
  <si>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</si>
  <si>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</si>
  <si>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</si>
  <si>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</si>
  <si>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</si>
  <si>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</si>
  <si>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</si>
  <si>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</si>
  <si>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</si>
  <si>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</si>
  <si>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</si>
  <si>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</si>
  <si>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</si>
  <si>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</si>
  <si>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</si>
  <si>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</si>
  <si>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</si>
  <si>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</si>
  <si>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</si>
  <si>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</si>
  <si>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</si>
  <si>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</si>
  <si>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</si>
  <si>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</si>
  <si>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</si>
  <si>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</si>
  <si>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</si>
  <si>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</si>
  <si>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</si>
  <si>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</si>
  <si>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</si>
  <si>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</si>
  <si>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</si>
  <si>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</si>
  <si>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</si>
  <si>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</si>
  <si>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</si>
  <si>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</si>
  <si>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</si>
  <si>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</si>
  <si>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</si>
  <si>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</si>
  <si>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</si>
  <si>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</si>
  <si>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</si>
  <si>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</si>
  <si>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</si>
  <si>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</si>
  <si>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</si>
  <si>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</si>
  <si>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</si>
  <si>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</si>
  <si>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</si>
  <si>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</si>
  <si>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</si>
  <si>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</si>
  <si>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</si>
  <si>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</si>
  <si>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</si>
  <si>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</si>
  <si>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</si>
  <si>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</si>
  <si>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</si>
  <si>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</si>
  <si>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</si>
  <si>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</si>
  <si>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</si>
  <si>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</si>
  <si>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</si>
  <si>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</si>
  <si>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</si>
  <si>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</si>
  <si>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</si>
  <si>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</si>
  <si>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</si>
  <si>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</si>
  <si>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</si>
  <si>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</si>
  <si>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</si>
  <si>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</si>
  <si>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</si>
  <si>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</si>
  <si>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</si>
  <si>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</si>
  <si>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</si>
  <si>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</si>
  <si>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</si>
  <si>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</si>
  <si>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</si>
  <si>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</si>
  <si>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</si>
  <si>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</si>
  <si>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</si>
  <si>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</si>
  <si>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</si>
  <si>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</si>
  <si>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</si>
  <si>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</si>
  <si>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</si>
  <si>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</si>
  <si>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</si>
  <si>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</si>
  <si>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</si>
  <si>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</si>
  <si>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</si>
  <si>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</si>
  <si>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</si>
  <si>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</si>
  <si>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</si>
  <si>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</si>
  <si>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</si>
  <si>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</si>
  <si>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</si>
  <si>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</si>
  <si>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</si>
  <si>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</si>
  <si>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</si>
  <si>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</si>
  <si>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</si>
  <si>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</si>
  <si>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</si>
  <si>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</si>
  <si>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</si>
  <si>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</si>
  <si>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</si>
  <si>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</si>
  <si>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</si>
  <si>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</si>
  <si>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</si>
  <si>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</si>
  <si>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</si>
  <si>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</si>
  <si>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</si>
  <si>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</si>
  <si>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</si>
  <si>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</si>
  <si>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</si>
  <si>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</si>
  <si>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</si>
  <si>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</si>
  <si>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</si>
  <si>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</si>
  <si>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</si>
  <si>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</si>
  <si>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</si>
  <si>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</si>
  <si>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</si>
  <si>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</si>
  <si>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</si>
  <si>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</si>
  <si>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</si>
  <si>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</si>
  <si>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</si>
  <si>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</si>
  <si>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</si>
  <si>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</si>
  <si>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</si>
  <si>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</si>
  <si>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</si>
  <si>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</si>
  <si>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</si>
  <si>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</si>
  <si>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</si>
  <si>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</si>
  <si>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</si>
  <si>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</si>
  <si>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</si>
  <si>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</si>
  <si>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</si>
  <si>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</si>
  <si>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</si>
  <si>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</si>
  <si>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</si>
  <si>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</si>
  <si>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</si>
  <si>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</si>
  <si>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</si>
  <si>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</si>
  <si>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</si>
  <si>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</si>
  <si>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</si>
  <si>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</si>
  <si>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</si>
  <si>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</si>
  <si>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</si>
  <si>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</si>
  <si>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</si>
  <si>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</si>
  <si>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</si>
  <si>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</si>
  <si>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</si>
  <si>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</si>
  <si>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</si>
  <si>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</si>
  <si>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</si>
  <si>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</si>
  <si>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</si>
  <si>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</si>
  <si>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</si>
  <si>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</si>
  <si>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</si>
  <si>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</si>
  <si>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</si>
  <si>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</si>
  <si>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</si>
  <si>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</si>
  <si>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</si>
  <si>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</si>
  <si>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</si>
  <si>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</si>
  <si>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</si>
  <si>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</si>
  <si>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</si>
  <si>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</si>
  <si>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</si>
  <si>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</si>
  <si>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</si>
  <si>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</si>
  <si>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</si>
  <si>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</si>
  <si>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</si>
  <si>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</si>
  <si>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</si>
  <si>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</si>
  <si>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</si>
  <si>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</si>
  <si>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</si>
  <si>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</si>
  <si>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</si>
  <si>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</si>
  <si>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</si>
  <si>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</si>
  <si>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</si>
  <si>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</si>
  <si>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</si>
  <si>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</si>
  <si>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</si>
  <si>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</si>
  <si>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</si>
  <si>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</si>
  <si>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</si>
  <si>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</si>
  <si>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</si>
  <si>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</si>
  <si>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</si>
  <si>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</si>
  <si>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</si>
  <si>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</si>
  <si>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</si>
  <si>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</si>
  <si>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</si>
  <si>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</si>
  <si>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</si>
  <si>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</si>
  <si>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</si>
  <si>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</si>
  <si>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</si>
  <si>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</si>
  <si>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</si>
  <si>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</si>
  <si>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</si>
  <si>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</si>
  <si>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</si>
  <si>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</si>
  <si>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</si>
  <si>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</si>
  <si>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</si>
  <si>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</si>
  <si>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</si>
  <si>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</si>
  <si>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</si>
  <si>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</si>
  <si>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</si>
  <si>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</si>
  <si>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</si>
  <si>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</si>
  <si>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</si>
  <si>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</si>
  <si>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</si>
  <si>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</si>
  <si>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</si>
  <si>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</si>
  <si>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</si>
  <si>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</si>
  <si>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</si>
  <si>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</si>
  <si>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</si>
  <si>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</si>
  <si>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</si>
  <si>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</si>
  <si>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</si>
  <si>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</si>
  <si>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</si>
  <si>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</si>
  <si>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</si>
  <si>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</si>
  <si>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</si>
  <si>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</si>
  <si>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</si>
  <si>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</si>
  <si>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</si>
  <si>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</si>
  <si>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</si>
  <si>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</si>
  <si>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</si>
  <si>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</si>
  <si>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</si>
  <si>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</si>
  <si>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</si>
  <si>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</si>
  <si>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</si>
  <si>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</si>
  <si>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</si>
  <si>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</si>
  <si>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</si>
  <si>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</si>
  <si>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</si>
  <si>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</si>
  <si>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</si>
  <si>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</si>
  <si>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</si>
  <si>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</si>
  <si>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</si>
  <si>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</si>
  <si>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</si>
  <si>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</si>
  <si>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</si>
  <si>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</si>
  <si>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</si>
  <si>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</si>
  <si>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</si>
  <si>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</si>
  <si>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</si>
  <si>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</si>
  <si>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</si>
  <si>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</si>
  <si>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</si>
  <si>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</si>
  <si>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</si>
  <si>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</si>
  <si>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</si>
  <si>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</si>
  <si>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</si>
  <si>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</si>
  <si>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</si>
  <si>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</si>
  <si>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</si>
  <si>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</si>
  <si>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</si>
  <si>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</si>
  <si>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</si>
  <si>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</si>
  <si>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</si>
  <si>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</si>
  <si>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</si>
  <si>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</si>
  <si>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</si>
  <si>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</si>
  <si>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</si>
  <si>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</si>
  <si>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</si>
  <si>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</si>
  <si>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</si>
  <si>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</si>
  <si>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</si>
  <si>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</si>
  <si>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</si>
  <si>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</si>
  <si>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</si>
  <si>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</si>
  <si>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</si>
  <si>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</si>
  <si>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</si>
  <si>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</si>
  <si>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</si>
  <si>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</si>
  <si>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</si>
  <si>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</si>
  <si>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</si>
  <si>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</si>
  <si>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</si>
  <si>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</si>
  <si>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</si>
  <si>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</si>
  <si>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</si>
  <si>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</si>
  <si>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</si>
  <si>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</si>
  <si>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</si>
  <si>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</si>
  <si>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</si>
  <si>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</si>
  <si>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</si>
  <si>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</si>
  <si>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</si>
  <si>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</si>
  <si>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</si>
  <si>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</si>
  <si>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</si>
  <si>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</si>
  <si>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</si>
  <si>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</si>
  <si>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</si>
  <si>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</si>
  <si>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</si>
  <si>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</si>
  <si>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</si>
  <si>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</si>
  <si>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</si>
  <si>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</si>
  <si>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</si>
  <si>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</si>
  <si>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</si>
  <si>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</si>
  <si>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</si>
  <si>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</si>
  <si>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</si>
  <si>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</si>
  <si>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</si>
  <si>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</si>
  <si>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</si>
  <si>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</si>
  <si>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</si>
  <si>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</si>
  <si>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</si>
  <si>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</si>
  <si>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</si>
  <si>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</si>
  <si>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</si>
  <si>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</si>
  <si>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</si>
  <si>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</si>
  <si>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</si>
  <si>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</si>
  <si>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</si>
  <si>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</si>
  <si>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</si>
  <si>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</si>
  <si>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</si>
  <si>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</si>
  <si>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</si>
  <si>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</si>
  <si>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</si>
  <si>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</si>
  <si>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</si>
  <si>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</si>
  <si>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</si>
  <si>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</si>
  <si>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</si>
  <si>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</si>
  <si>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</si>
  <si>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</si>
  <si>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</si>
  <si>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</si>
  <si>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</si>
  <si>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</si>
  <si>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</si>
  <si>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</si>
  <si>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</si>
  <si>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</si>
  <si>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</si>
  <si>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</si>
  <si>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</si>
  <si>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</si>
  <si>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</si>
  <si>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</si>
  <si>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</si>
  <si>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</si>
  <si>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</si>
  <si>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</si>
  <si>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</si>
  <si>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</si>
  <si>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</si>
  <si>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</si>
  <si>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</si>
  <si>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</si>
  <si>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</si>
  <si>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</si>
  <si>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</si>
  <si>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</si>
  <si>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</si>
  <si>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</si>
  <si>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</si>
  <si>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</si>
  <si>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</si>
  <si>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</si>
  <si>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</si>
  <si>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</si>
  <si>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</si>
  <si>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</si>
  <si>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</si>
  <si>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</si>
  <si>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</si>
  <si>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</si>
  <si>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</si>
  <si>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</si>
  <si>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</si>
  <si>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</si>
  <si>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</si>
  <si>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</si>
  <si>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</si>
  <si>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</si>
  <si>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</si>
  <si>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</si>
  <si>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</si>
  <si>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</si>
  <si>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</si>
  <si>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</si>
  <si>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</si>
  <si>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</si>
  <si>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</si>
  <si>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</si>
  <si>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</si>
  <si>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</si>
  <si>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</si>
  <si>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</si>
  <si>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</si>
  <si>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</si>
  <si>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</si>
  <si>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</si>
  <si>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</si>
  <si>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</si>
  <si>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</si>
  <si>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</si>
  <si>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</si>
  <si>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</si>
  <si>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</si>
  <si>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</si>
  <si>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</si>
  <si>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</si>
  <si>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</si>
  <si>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</si>
  <si>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</si>
  <si>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</si>
  <si>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</si>
  <si>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</si>
  <si>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</si>
  <si>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</si>
  <si>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</si>
  <si>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</si>
  <si>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</si>
  <si>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</si>
  <si>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</si>
  <si>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</si>
  <si>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</si>
  <si>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</si>
  <si>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</si>
  <si>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</si>
  <si>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</si>
  <si>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</si>
  <si>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</si>
  <si>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</si>
  <si>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</si>
  <si>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</si>
  <si>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</si>
  <si>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</si>
  <si>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</si>
  <si>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</si>
  <si>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</si>
  <si>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</si>
  <si>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</si>
  <si>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</si>
  <si>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</si>
  <si>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</si>
  <si>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</si>
  <si>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</si>
  <si>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</si>
  <si>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</si>
  <si>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</si>
  <si>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</si>
  <si>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</si>
  <si>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</si>
  <si>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</si>
  <si>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</si>
  <si>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</si>
  <si>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</si>
  <si>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</si>
  <si>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</si>
  <si>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</si>
  <si>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</si>
  <si>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</si>
  <si>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</si>
  <si>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</si>
  <si>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</si>
  <si>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</si>
  <si>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</si>
  <si>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</si>
  <si>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</si>
  <si>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</si>
  <si>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</si>
  <si>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</si>
  <si>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</si>
  <si>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</si>
  <si>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</si>
  <si>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</si>
  <si>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</si>
  <si>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</si>
  <si>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</si>
  <si>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</si>
  <si>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</si>
  <si>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</si>
  <si>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</si>
  <si>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</si>
  <si>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</si>
  <si>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</si>
  <si>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</si>
  <si>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</si>
  <si>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</si>
  <si>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</si>
  <si>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</si>
  <si>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</si>
  <si>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</si>
  <si>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</si>
  <si>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</si>
  <si>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</si>
  <si>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</si>
  <si>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</si>
  <si>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</si>
  <si>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</si>
  <si>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</si>
  <si>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</si>
  <si>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</si>
  <si>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</si>
  <si>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</si>
  <si>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</si>
  <si>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</si>
  <si>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</si>
  <si>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</si>
  <si>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</si>
  <si>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</si>
  <si>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</si>
  <si>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</si>
  <si>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</si>
  <si>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</si>
  <si>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</si>
  <si>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</si>
  <si>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</si>
  <si>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</si>
  <si>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</si>
  <si>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</si>
  <si>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</si>
  <si>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</si>
  <si>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</si>
  <si>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</si>
  <si>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</si>
  <si>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</si>
  <si>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</si>
  <si>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</si>
  <si>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</si>
  <si>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</si>
  <si>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</si>
  <si>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</si>
  <si>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</si>
  <si>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</si>
  <si>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</si>
  <si>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</si>
  <si>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</si>
  <si>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</si>
  <si>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</si>
  <si>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</si>
  <si>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</si>
  <si>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</si>
  <si>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</si>
  <si>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</si>
  <si>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</si>
  <si>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</si>
  <si>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</si>
  <si>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</si>
  <si>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</si>
  <si>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</si>
  <si>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</si>
  <si>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</si>
  <si>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</si>
  <si>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</si>
  <si>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</si>
  <si>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</si>
  <si>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</si>
  <si>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</si>
  <si>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</si>
  <si>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</si>
  <si>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</si>
  <si>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</si>
  <si>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</si>
  <si>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</si>
  <si>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</si>
  <si>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</si>
  <si>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</si>
  <si>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</si>
  <si>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</si>
  <si>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</si>
  <si>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</si>
  <si>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</si>
  <si>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</si>
  <si>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</si>
  <si>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</si>
  <si>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</si>
  <si>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</si>
  <si>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</si>
  <si>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</si>
  <si>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</si>
  <si>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</si>
  <si>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</si>
  <si>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</si>
  <si>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</si>
  <si>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</si>
  <si>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</si>
  <si>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</si>
  <si>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</si>
  <si>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</si>
  <si>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</si>
  <si>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</si>
  <si>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</si>
  <si>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</si>
  <si>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</si>
  <si>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</si>
  <si>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</si>
  <si>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</si>
  <si>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</si>
  <si>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</si>
  <si>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</si>
  <si>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</si>
  <si>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</si>
  <si>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</si>
  <si>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</si>
  <si>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</si>
  <si>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</si>
  <si>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</si>
  <si>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</si>
  <si>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</si>
  <si>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</si>
  <si>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</si>
  <si>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</si>
  <si>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</si>
  <si>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</si>
  <si>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</si>
  <si>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</si>
  <si>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</si>
  <si>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</si>
  <si>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</si>
  <si>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</si>
  <si>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</si>
  <si>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</si>
  <si>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</si>
  <si>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</si>
  <si>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</si>
  <si>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</si>
  <si>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</si>
  <si>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</si>
  <si>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</si>
  <si>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</si>
  <si>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</si>
  <si>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</si>
  <si>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</si>
  <si>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</si>
  <si>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</si>
  <si>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</si>
  <si>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</si>
  <si>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</si>
  <si>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</si>
  <si>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</si>
  <si>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</si>
  <si>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</si>
  <si>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</si>
  <si>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</si>
  <si>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</si>
  <si>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</si>
  <si>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</si>
  <si>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</si>
  <si>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</si>
  <si>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</si>
  <si>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</si>
  <si>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</si>
  <si>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</si>
  <si>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</si>
  <si>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</si>
  <si>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</si>
  <si>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</si>
  <si>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</si>
  <si>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</si>
  <si>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</si>
  <si>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</si>
  <si>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</si>
  <si>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</si>
  <si>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</si>
  <si>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</si>
  <si>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</si>
  <si>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</si>
  <si>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</si>
  <si>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</si>
  <si>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</si>
  <si>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</si>
  <si>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</si>
  <si>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</si>
  <si>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</si>
  <si>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</si>
  <si>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</si>
  <si>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</si>
  <si>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</si>
  <si>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</si>
  <si>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</si>
  <si>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</si>
  <si>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</si>
  <si>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</si>
  <si>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</si>
  <si>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</si>
  <si>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</si>
  <si>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</si>
  <si>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</si>
  <si>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</si>
  <si>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</si>
  <si>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</si>
  <si>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</si>
  <si>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</si>
  <si>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</si>
  <si>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</si>
  <si>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</si>
  <si>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</si>
  <si>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</si>
  <si>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</si>
  <si>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</si>
  <si>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</si>
  <si>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</si>
  <si>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</si>
  <si>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</si>
  <si>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</si>
  <si>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</si>
  <si>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</si>
  <si>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</si>
  <si>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</si>
  <si>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</si>
  <si>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</si>
  <si>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</si>
  <si>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</si>
  <si>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</si>
  <si>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</si>
  <si>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</si>
  <si>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</si>
  <si>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</si>
  <si>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</si>
  <si>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</si>
  <si>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</si>
  <si>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</si>
  <si>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</si>
  <si>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</si>
  <si>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</si>
  <si>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</si>
  <si>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</si>
  <si>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</si>
  <si>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</si>
  <si>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</si>
  <si>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</si>
  <si>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</si>
  <si>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</si>
  <si>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</si>
  <si>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</si>
  <si>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</si>
  <si>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</si>
  <si>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</si>
  <si>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</si>
  <si>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</si>
  <si>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</si>
  <si>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</si>
  <si>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</si>
  <si>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</si>
  <si>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</si>
  <si>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</si>
  <si>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</si>
  <si>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</si>
  <si>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</si>
  <si>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</si>
  <si>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</si>
  <si>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</si>
  <si>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</si>
  <si>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</si>
  <si>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</si>
  <si>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</si>
  <si>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</si>
  <si>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</si>
  <si>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</si>
  <si>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</si>
  <si>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</si>
  <si>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</si>
  <si>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</si>
  <si>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</si>
  <si>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</si>
  <si>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</si>
  <si>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</si>
  <si>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</si>
  <si>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</si>
  <si>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</si>
  <si>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</si>
  <si>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</si>
  <si>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</si>
  <si>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</si>
  <si>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</si>
  <si>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</si>
  <si>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</si>
  <si>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</si>
  <si>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</si>
  <si>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</si>
  <si>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</si>
  <si>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</si>
  <si>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</si>
  <si>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</si>
  <si>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</si>
  <si>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</si>
  <si>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</si>
  <si>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</si>
  <si>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</si>
  <si>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</si>
  <si>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</si>
  <si>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</si>
  <si>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</si>
  <si>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</si>
  <si>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</si>
  <si>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</si>
  <si>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</si>
  <si>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</si>
  <si>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</si>
  <si>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</si>
  <si>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</si>
  <si>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</si>
  <si>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</si>
  <si>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</si>
  <si>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</si>
  <si>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</si>
  <si>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</si>
  <si>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</si>
  <si>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</si>
  <si>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</si>
  <si>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</si>
  <si>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</si>
  <si>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</si>
  <si>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</si>
  <si>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</si>
  <si>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</si>
  <si>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</si>
  <si>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</si>
  <si>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</si>
  <si>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</si>
  <si>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</si>
  <si>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</si>
  <si>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</si>
  <si>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</si>
  <si>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</si>
  <si>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</si>
  <si>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</si>
  <si>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</si>
  <si>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</si>
  <si>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</si>
  <si>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</si>
  <si>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</si>
  <si>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</si>
  <si>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</si>
  <si>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</si>
  <si>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</si>
  <si>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</si>
  <si>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</si>
  <si>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</si>
  <si>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</si>
  <si>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</si>
  <si>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</si>
  <si>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</si>
  <si>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</si>
  <si>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</si>
  <si>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</si>
  <si>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</si>
  <si>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</si>
  <si>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</si>
  <si>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</si>
  <si>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</si>
  <si>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</si>
  <si>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</si>
  <si>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</si>
  <si>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</si>
  <si>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</si>
  <si>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</si>
  <si>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</si>
  <si>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</si>
  <si>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</si>
  <si>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</si>
  <si>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</si>
  <si>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</si>
  <si>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</si>
  <si>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</si>
  <si>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</si>
  <si>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</si>
  <si>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</si>
  <si>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</si>
  <si>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</si>
  <si>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</si>
  <si>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</si>
  <si>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</si>
  <si>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</si>
  <si>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</si>
  <si>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</si>
  <si>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</si>
  <si>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</si>
  <si>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</si>
  <si>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</si>
  <si>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</si>
  <si>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</si>
  <si>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</si>
  <si>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</si>
  <si>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</si>
  <si>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</si>
  <si>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</si>
  <si>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</si>
  <si>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</si>
  <si>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</si>
  <si>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</si>
  <si>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</si>
  <si>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</si>
  <si>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</si>
  <si>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</si>
  <si>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</si>
  <si>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</si>
  <si>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</si>
  <si>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</si>
  <si>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</si>
  <si>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</si>
  <si>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</si>
  <si>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</si>
  <si>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</si>
  <si>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</si>
  <si>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</si>
  <si>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</si>
  <si>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</si>
  <si>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</si>
  <si>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</si>
  <si>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</si>
  <si>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</si>
  <si>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</si>
  <si>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</si>
  <si>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</si>
  <si>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</si>
  <si>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</si>
  <si>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</si>
  <si>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</si>
  <si>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</si>
  <si>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</si>
  <si>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</si>
  <si>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</si>
  <si>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</si>
  <si>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</si>
  <si>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</si>
  <si>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</si>
  <si>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</si>
  <si>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</si>
  <si>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</si>
  <si>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</si>
  <si>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</si>
  <si>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</si>
  <si>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</si>
  <si>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</si>
  <si>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</si>
  <si>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</si>
  <si>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</si>
  <si>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</si>
  <si>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</si>
  <si>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</si>
  <si>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</si>
  <si>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</si>
  <si>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</si>
  <si>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</si>
  <si>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</si>
  <si>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</si>
  <si>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</si>
  <si>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</si>
  <si>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</si>
  <si>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</si>
  <si>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</si>
  <si>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</si>
  <si>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</si>
  <si>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</si>
  <si>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</si>
  <si>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</si>
  <si>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</si>
  <si>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</si>
  <si>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</si>
  <si>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</si>
  <si>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</si>
  <si>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</si>
  <si>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</si>
  <si>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</si>
  <si>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</si>
  <si>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</si>
  <si>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</si>
  <si>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</si>
  <si>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</si>
  <si>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</si>
  <si>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</si>
  <si>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</si>
  <si>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</si>
  <si>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</si>
  <si>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</si>
  <si>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</si>
  <si>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</si>
  <si>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</si>
  <si>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</si>
  <si>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</si>
  <si>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</si>
  <si>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</si>
  <si>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</si>
  <si>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</si>
  <si>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</si>
  <si>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</si>
  <si>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</si>
  <si>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</si>
  <si>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</si>
  <si>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</si>
  <si>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</si>
  <si>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</si>
  <si>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</si>
  <si>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</si>
  <si>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</si>
  <si>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</si>
  <si>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</si>
  <si>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</si>
  <si>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</si>
  <si>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</si>
  <si>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</si>
  <si>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</si>
  <si>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</si>
  <si>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</si>
  <si>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</si>
  <si>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</si>
  <si>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</si>
  <si>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</si>
  <si>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</si>
  <si>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</si>
  <si>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</si>
  <si>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</si>
  <si>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</si>
  <si>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</si>
  <si>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</si>
  <si>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</si>
  <si>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</si>
  <si>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</si>
  <si>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</si>
  <si>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</si>
  <si>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</si>
  <si>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</si>
  <si>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</si>
  <si>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</si>
  <si>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</si>
  <si>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</si>
  <si>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</si>
  <si>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</si>
  <si>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</si>
  <si>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</si>
  <si>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</si>
  <si>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</si>
  <si>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</si>
  <si>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</si>
  <si>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</si>
  <si>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</si>
  <si>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</si>
  <si>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</si>
  <si>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</si>
  <si>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</si>
  <si>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</si>
  <si>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</si>
  <si>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</si>
  <si>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</si>
  <si>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</si>
  <si>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</si>
  <si>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</si>
  <si>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</si>
  <si>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</si>
  <si>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</si>
  <si>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</si>
  <si>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</si>
  <si>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</si>
  <si>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</si>
  <si>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</si>
  <si>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</si>
  <si>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</si>
  <si>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</si>
  <si>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</si>
  <si>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</si>
  <si>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</si>
  <si>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</si>
  <si>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</si>
  <si>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</si>
  <si>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</si>
  <si>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</si>
  <si>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</si>
  <si>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</si>
  <si>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</si>
  <si>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</si>
  <si>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</si>
  <si>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</si>
  <si>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</si>
  <si>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</si>
  <si>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</si>
  <si>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</si>
  <si>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</si>
  <si>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</si>
  <si>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</si>
  <si>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</si>
  <si>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</si>
  <si>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</si>
  <si>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</si>
  <si>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</si>
  <si>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</si>
  <si>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</si>
  <si>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</si>
  <si>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</si>
  <si>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</si>
  <si>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</si>
  <si>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</si>
  <si>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</si>
  <si>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</si>
  <si>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</si>
  <si>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</si>
  <si>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</si>
  <si>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</si>
  <si>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</si>
  <si>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</si>
  <si>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</si>
  <si>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</si>
  <si>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</si>
  <si>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</si>
  <si>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</si>
  <si>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</si>
  <si>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</si>
  <si>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</si>
  <si>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</si>
  <si>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</si>
  <si>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</si>
  <si>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</si>
  <si>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</si>
  <si>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</si>
  <si>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</si>
  <si>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</si>
  <si>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</si>
  <si>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</si>
  <si>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</si>
  <si>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</si>
  <si>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</si>
  <si>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</si>
  <si>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</si>
  <si>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</si>
  <si>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</si>
  <si>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</si>
  <si>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</si>
  <si>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</si>
  <si>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</si>
  <si>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</si>
  <si>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</si>
  <si>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</si>
  <si>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</si>
  <si>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</si>
  <si>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</si>
  <si>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</si>
  <si>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</si>
  <si>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</si>
  <si>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</si>
  <si>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</si>
  <si>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</si>
  <si>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</si>
  <si>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</si>
  <si>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</si>
  <si>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</si>
  <si>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</si>
  <si>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</si>
  <si>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</si>
  <si>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</si>
  <si>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</si>
  <si>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</si>
  <si>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</si>
  <si>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</si>
  <si>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</si>
  <si>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</si>
  <si>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</si>
  <si>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</si>
  <si>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</si>
  <si>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</si>
  <si>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</si>
  <si>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</si>
  <si>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</si>
  <si>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</si>
  <si>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</si>
  <si>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</si>
  <si>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</si>
  <si>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</si>
  <si>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</si>
  <si>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</si>
  <si>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</si>
  <si>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</si>
  <si>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</si>
  <si>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</si>
  <si>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</si>
  <si>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</si>
  <si>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</si>
  <si>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</si>
  <si>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</si>
  <si>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</si>
  <si>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</si>
  <si>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</si>
  <si>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</si>
  <si>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</si>
  <si>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</si>
  <si>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</si>
  <si>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</si>
  <si>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</si>
  <si>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</si>
  <si>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</si>
  <si>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</si>
  <si>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</si>
  <si>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</si>
  <si>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</si>
  <si>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</si>
  <si>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</si>
  <si>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</si>
  <si>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</si>
  <si>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</si>
  <si>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</si>
  <si>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</si>
  <si>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</si>
  <si>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</si>
  <si>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</si>
  <si>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</si>
  <si>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</si>
  <si>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</si>
  <si>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</si>
  <si>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</si>
  <si>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</si>
  <si>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</si>
  <si>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</si>
  <si>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</si>
  <si>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</si>
  <si>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</si>
  <si>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</si>
  <si>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</si>
  <si>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</si>
  <si>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</si>
  <si>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</si>
  <si>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</si>
  <si>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</si>
  <si>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</si>
  <si>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</si>
  <si>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</si>
  <si>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</si>
  <si>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</si>
  <si>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</si>
  <si>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</si>
  <si>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</si>
  <si>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</si>
  <si>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</si>
  <si>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</si>
  <si>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</si>
  <si>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</si>
  <si>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</si>
  <si>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</si>
  <si>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</si>
  <si>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</si>
  <si>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</si>
  <si>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</si>
  <si>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</si>
  <si>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</si>
  <si>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</si>
  <si>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</si>
  <si>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</si>
  <si>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</si>
  <si>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</si>
  <si>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</si>
  <si>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</si>
  <si>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</si>
  <si>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</si>
  <si>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</si>
  <si>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</si>
  <si>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</si>
  <si>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</si>
  <si>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</si>
  <si>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</si>
  <si>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</si>
  <si>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</si>
  <si>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</si>
  <si>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</si>
  <si>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</si>
  <si>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</si>
  <si>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</si>
  <si>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</si>
  <si>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</si>
  <si>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</si>
  <si>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</si>
  <si>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</si>
  <si>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</si>
  <si>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</si>
  <si>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</si>
  <si>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</si>
  <si>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</si>
  <si>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</si>
  <si>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</si>
  <si>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</si>
  <si>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</si>
  <si>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</si>
  <si>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</si>
  <si>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</si>
  <si>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</si>
  <si>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</si>
  <si>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</si>
  <si>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</si>
  <si>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</si>
  <si>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</si>
  <si>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</si>
  <si>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</si>
  <si>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</si>
  <si>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</si>
  <si>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</si>
  <si>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</si>
  <si>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</si>
  <si>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</si>
  <si>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</si>
  <si>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</si>
  <si>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</si>
  <si>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</si>
  <si>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</si>
  <si>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</si>
  <si>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</si>
  <si>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</si>
  <si>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</si>
  <si>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</si>
  <si>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</si>
  <si>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</si>
  <si>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</si>
  <si>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</si>
  <si>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</si>
  <si>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</si>
  <si>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</si>
  <si>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</si>
  <si>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</si>
  <si>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</si>
  <si>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</si>
  <si>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</si>
  <si>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</si>
  <si>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</si>
  <si>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</si>
  <si>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</si>
  <si>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</si>
  <si>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</si>
  <si>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</si>
  <si>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</si>
  <si>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</si>
  <si>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</si>
  <si>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</si>
  <si>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</si>
  <si>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</si>
  <si>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</si>
  <si>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</si>
  <si>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</si>
  <si>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</si>
  <si>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</si>
  <si>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</si>
  <si>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</si>
  <si>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</si>
  <si>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</si>
  <si>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</si>
  <si>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</si>
  <si>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</si>
  <si>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</si>
  <si>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</si>
  <si>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</si>
  <si>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</si>
  <si>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</si>
  <si>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</si>
  <si>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</si>
  <si>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</si>
  <si>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</si>
  <si>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</si>
  <si>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</si>
  <si>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</si>
  <si>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</si>
  <si>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</si>
  <si>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</si>
  <si>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</si>
  <si>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</si>
  <si>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</si>
  <si>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</si>
  <si>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</si>
  <si>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</si>
  <si>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</si>
  <si>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</si>
  <si>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</si>
  <si>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</si>
  <si>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</si>
  <si>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</si>
  <si>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</si>
  <si>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</si>
  <si>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</si>
  <si>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</si>
  <si>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</si>
  <si>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</si>
  <si>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</si>
  <si>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</si>
  <si>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</si>
  <si>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</si>
  <si>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</si>
  <si>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</si>
  <si>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</si>
  <si>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</si>
  <si>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</si>
  <si>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</si>
  <si>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</si>
  <si>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</si>
  <si>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</si>
  <si>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</si>
  <si>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</si>
  <si>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</si>
  <si>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</si>
  <si>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</si>
  <si>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</si>
  <si>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</si>
  <si>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</si>
  <si>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</si>
  <si>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</si>
  <si>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</si>
  <si>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</si>
  <si>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</si>
  <si>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</si>
  <si>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</si>
  <si>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</si>
  <si>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</si>
  <si>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</si>
  <si>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</si>
  <si>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</si>
  <si>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</si>
  <si>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</si>
  <si>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</si>
  <si>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</si>
  <si>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</si>
  <si>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</si>
  <si>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</si>
  <si>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</si>
  <si>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</si>
  <si>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</si>
  <si>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</si>
  <si>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</si>
  <si>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</si>
  <si>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</si>
  <si>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</si>
  <si>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</si>
  <si>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</si>
  <si>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</si>
  <si>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</si>
  <si>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</si>
  <si>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</si>
  <si>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</si>
  <si>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</si>
  <si>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</si>
  <si>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</si>
  <si>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</si>
  <si>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</si>
  <si>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</si>
  <si>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</si>
  <si>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</si>
  <si>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</si>
  <si>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</si>
  <si>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</si>
  <si>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</si>
  <si>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</si>
  <si>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</si>
  <si>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</si>
  <si>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</si>
  <si>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</si>
  <si>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</si>
  <si>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</si>
  <si>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</si>
  <si>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</si>
  <si>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</si>
  <si>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</si>
  <si>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</si>
  <si>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</si>
  <si>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</si>
  <si>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</si>
  <si>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</si>
  <si>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</si>
  <si>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</si>
  <si>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</si>
  <si>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</si>
  <si>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</si>
  <si>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</si>
  <si>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</si>
  <si>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</si>
  <si>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</si>
  <si>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</si>
  <si>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</si>
  <si>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</si>
  <si>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</si>
  <si>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</si>
  <si>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</si>
  <si>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</si>
  <si>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</si>
  <si>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</si>
  <si>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</si>
  <si>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</si>
  <si>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</si>
  <si>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</si>
  <si>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</si>
  <si>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</si>
  <si>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</si>
  <si>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</si>
  <si>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</si>
  <si>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</si>
  <si>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</si>
  <si>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</si>
  <si>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</si>
  <si>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</si>
  <si>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</si>
  <si>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</si>
  <si>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</si>
  <si>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</si>
  <si>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</si>
  <si>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</si>
  <si>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</si>
  <si>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</si>
  <si>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</si>
  <si>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</si>
  <si>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</si>
  <si>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</si>
  <si>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</si>
  <si>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</si>
  <si>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</si>
  <si>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</si>
  <si>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</si>
  <si>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</si>
  <si>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</si>
  <si>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</si>
  <si>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</si>
  <si>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</si>
  <si>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</si>
  <si>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</si>
  <si>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</si>
  <si>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</si>
  <si>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</si>
  <si>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</si>
  <si>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</si>
  <si>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</si>
  <si>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</si>
  <si>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</si>
  <si>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</si>
  <si>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</si>
  <si>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</si>
  <si>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</si>
  <si>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</si>
  <si>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</si>
  <si>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</si>
  <si>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</si>
  <si>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</si>
  <si>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</si>
  <si>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</si>
  <si>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</si>
  <si>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</si>
  <si>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</si>
  <si>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</si>
  <si>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</si>
  <si>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</si>
  <si>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</si>
  <si>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</si>
  <si>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</si>
  <si>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</si>
  <si>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</si>
  <si>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</si>
  <si>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</si>
  <si>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</si>
  <si>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</si>
  <si>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</si>
  <si>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</si>
  <si>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</si>
  <si>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</si>
  <si>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</si>
  <si>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</si>
  <si>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</si>
  <si>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</si>
  <si>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</si>
  <si>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</si>
  <si>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</si>
  <si>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</si>
  <si>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</si>
  <si>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</si>
  <si>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</si>
  <si>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</si>
  <si>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</si>
  <si>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</si>
  <si>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</si>
  <si>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</si>
  <si>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</si>
  <si>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</si>
  <si>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</si>
  <si>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</si>
  <si>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</si>
  <si>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</si>
  <si>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</si>
  <si>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</si>
  <si>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</si>
  <si>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</si>
  <si>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</si>
  <si>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</si>
  <si>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</si>
  <si>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</si>
  <si>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</si>
  <si>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</si>
  <si>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</si>
  <si>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</si>
  <si>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</si>
  <si>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</si>
  <si>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</si>
  <si>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</si>
  <si>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</si>
  <si>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</si>
  <si>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</si>
  <si>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</si>
  <si>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</si>
  <si>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</si>
  <si>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</si>
  <si>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</si>
  <si>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</si>
  <si>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</si>
  <si>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</si>
  <si>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</si>
  <si>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</si>
  <si>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</si>
  <si>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</si>
  <si>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</si>
  <si>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</si>
  <si>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</si>
  <si>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</si>
  <si>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</si>
  <si>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</si>
  <si>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</si>
  <si>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</si>
  <si>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</si>
  <si>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</si>
  <si>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</si>
  <si>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</si>
  <si>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</si>
  <si>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</si>
  <si>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</si>
  <si>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</si>
  <si>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</si>
  <si>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</si>
  <si>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</si>
  <si>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</si>
  <si>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</si>
  <si>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</si>
  <si>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</si>
  <si>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</si>
  <si>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</si>
  <si>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</si>
  <si>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</si>
  <si>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</si>
  <si>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</si>
  <si>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</si>
  <si>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</si>
  <si>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</si>
  <si>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</si>
  <si>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</si>
  <si>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</si>
  <si>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</si>
  <si>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</si>
  <si>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</si>
  <si>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</si>
  <si>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</si>
  <si>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</si>
  <si>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</si>
  <si>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</si>
  <si>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</si>
  <si>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</si>
  <si>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</si>
  <si>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</si>
  <si>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</si>
  <si>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</si>
  <si>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</si>
  <si>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</si>
  <si>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</si>
  <si>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</si>
  <si>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</si>
  <si>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</si>
  <si>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</si>
  <si>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</si>
  <si>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</si>
  <si>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</si>
  <si>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</si>
  <si>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</si>
  <si>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</si>
  <si>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</si>
  <si>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</si>
  <si>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</si>
  <si>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</si>
  <si>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</si>
  <si>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</si>
  <si>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</si>
  <si>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</si>
  <si>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</si>
  <si>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</si>
  <si>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</si>
  <si>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</si>
  <si>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</si>
  <si>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</si>
  <si>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</si>
  <si>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</si>
  <si>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</si>
  <si>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</si>
  <si>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</si>
  <si>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</si>
  <si>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</si>
  <si>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</si>
  <si>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</si>
  <si>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</si>
  <si>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</si>
  <si>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</si>
  <si>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</si>
  <si>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</si>
  <si>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</si>
  <si>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</si>
  <si>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</si>
  <si>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</si>
  <si>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</si>
  <si>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</si>
  <si>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</si>
  <si>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</si>
  <si>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</si>
  <si>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</si>
  <si>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</si>
  <si>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</si>
  <si>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</si>
  <si>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</si>
  <si>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</si>
  <si>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</si>
  <si>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</si>
  <si>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</si>
  <si>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</si>
  <si>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</si>
  <si>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</si>
  <si>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</si>
  <si>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</si>
  <si>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</si>
  <si>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</si>
  <si>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</si>
  <si>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</si>
  <si>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</si>
  <si>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</si>
  <si>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</si>
  <si>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</si>
  <si>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</si>
  <si>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</si>
  <si>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</si>
  <si>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</si>
  <si>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</si>
  <si>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</si>
  <si>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</si>
  <si>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</si>
  <si>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</si>
  <si>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</si>
  <si>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</si>
  <si>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</si>
  <si>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</si>
  <si>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</si>
  <si>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</si>
  <si>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</si>
  <si>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</si>
  <si>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</si>
  <si>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</si>
  <si>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</si>
  <si>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</si>
  <si>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</si>
  <si>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</si>
  <si>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</si>
  <si>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</si>
  <si>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</si>
  <si>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</si>
  <si>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</si>
  <si>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</si>
  <si>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</si>
  <si>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</si>
  <si>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</si>
  <si>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</si>
  <si>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</si>
  <si>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</si>
  <si>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</si>
  <si>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</si>
  <si>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</si>
  <si>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</si>
  <si>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</si>
  <si>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</si>
  <si>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</si>
  <si>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</si>
  <si>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</si>
  <si>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</si>
  <si>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</si>
  <si>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</si>
  <si>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</si>
  <si>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</si>
  <si>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</si>
  <si>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</si>
  <si>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</si>
  <si>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</si>
  <si>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</si>
  <si>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</si>
  <si>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</si>
  <si>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</si>
  <si>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</si>
  <si>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</si>
  <si>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</si>
  <si>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</si>
  <si>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</si>
  <si>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</si>
  <si>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</si>
  <si>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</si>
  <si>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</si>
  <si>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</si>
  <si>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</si>
  <si>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</si>
  <si>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</si>
  <si>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</si>
  <si>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</si>
  <si>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</si>
  <si>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</si>
  <si>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</si>
  <si>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</si>
  <si>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</si>
  <si>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</si>
  <si>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</si>
  <si>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</si>
  <si>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</si>
  <si>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</si>
  <si>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</si>
  <si>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</si>
  <si>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</si>
  <si>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</si>
  <si>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</si>
  <si>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</si>
  <si>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</si>
  <si>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</si>
  <si>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</si>
  <si>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</si>
  <si>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</si>
  <si>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</si>
  <si>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</si>
  <si>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</si>
  <si>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</si>
  <si>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</si>
  <si>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</si>
  <si>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</si>
  <si>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</si>
  <si>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</si>
  <si>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</si>
  <si>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</si>
  <si>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</si>
  <si>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</si>
  <si>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</si>
  <si>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</si>
  <si>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</si>
  <si>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</si>
  <si>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</si>
  <si>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</si>
  <si>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</si>
  <si>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</si>
  <si>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</si>
  <si>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</si>
  <si>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</si>
  <si>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</si>
  <si>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</si>
  <si>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</si>
  <si>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</si>
  <si>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</si>
  <si>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</si>
  <si>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</si>
  <si>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</si>
  <si>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</si>
  <si>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</si>
  <si>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</si>
  <si>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</si>
  <si>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</si>
  <si>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</si>
  <si>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</si>
  <si>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</si>
  <si>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</si>
  <si>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</si>
  <si>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</si>
  <si>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</si>
  <si>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</si>
  <si>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</si>
  <si>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</si>
  <si>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</si>
  <si>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</si>
  <si>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</si>
  <si>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</si>
  <si>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</si>
  <si>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</si>
  <si>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</si>
  <si>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</si>
  <si>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</si>
  <si>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</si>
  <si>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</si>
  <si>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</si>
  <si>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</si>
  <si>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</si>
  <si>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</si>
  <si>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</si>
  <si>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</si>
  <si>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</si>
  <si>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</si>
  <si>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</si>
  <si>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</si>
  <si>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</si>
  <si>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</si>
  <si>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</si>
  <si>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</si>
  <si>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</si>
  <si>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</si>
  <si>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</si>
  <si>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</si>
  <si>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</si>
  <si>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</si>
  <si>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</si>
  <si>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</si>
  <si>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</si>
  <si>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</si>
  <si>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</si>
  <si>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</si>
  <si>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</si>
  <si>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</si>
  <si>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</si>
  <si>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</si>
  <si>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</si>
  <si>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</si>
  <si>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</si>
  <si>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</si>
  <si>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</si>
  <si>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</si>
  <si>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</si>
  <si>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</si>
  <si>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</si>
  <si>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</si>
  <si>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</si>
  <si>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</si>
  <si>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</si>
  <si>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</si>
  <si>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</si>
  <si>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</si>
  <si>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</si>
  <si>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</si>
  <si>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</si>
  <si>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</si>
  <si>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</si>
  <si>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</si>
  <si>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</si>
  <si>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</si>
  <si>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</si>
  <si>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</si>
  <si>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</si>
  <si>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</si>
  <si>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</si>
  <si>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</si>
  <si>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</si>
  <si>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</si>
  <si>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</si>
  <si>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</si>
  <si>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</si>
  <si>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</si>
  <si>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</si>
  <si>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</si>
  <si>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</si>
  <si>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</si>
  <si>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</si>
  <si>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</si>
  <si>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</si>
  <si>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</si>
  <si>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</si>
  <si>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</si>
  <si>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</si>
  <si>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</si>
  <si>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</si>
  <si>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</si>
  <si>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</si>
  <si>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</si>
  <si>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</si>
  <si>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</si>
  <si>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</si>
  <si>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</si>
  <si>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</si>
  <si>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</si>
  <si>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</si>
  <si>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</si>
  <si>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</si>
  <si>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</si>
  <si>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</si>
  <si>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</si>
  <si>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</si>
  <si>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</si>
  <si>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</si>
  <si>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</si>
  <si>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</si>
  <si>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</si>
  <si>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</si>
  <si>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</si>
  <si>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</si>
  <si>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</si>
  <si>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</si>
  <si>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</si>
  <si>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</si>
  <si>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</si>
  <si>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</si>
  <si>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</si>
  <si>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</si>
  <si>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</si>
  <si>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</si>
  <si>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</si>
  <si>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</si>
  <si>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</si>
  <si>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</si>
  <si>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</si>
  <si>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</si>
  <si>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</si>
  <si>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</si>
  <si>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</si>
  <si>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</si>
  <si>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</si>
  <si>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</si>
  <si>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</si>
  <si>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</si>
  <si>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</si>
  <si>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</si>
  <si>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</si>
  <si>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</si>
  <si>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</si>
  <si>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</si>
  <si>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</si>
  <si>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</si>
  <si>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</si>
  <si>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</si>
  <si>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</si>
  <si>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</si>
  <si>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</si>
  <si>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</si>
  <si>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</si>
  <si>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</si>
  <si>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</si>
  <si>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</si>
  <si>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</si>
  <si>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</si>
  <si>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</si>
  <si>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</si>
  <si>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</si>
  <si>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</si>
  <si>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</si>
  <si>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</si>
  <si>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</si>
  <si>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</si>
  <si>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</si>
  <si>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</si>
  <si>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</si>
  <si>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</si>
  <si>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</si>
  <si>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</si>
  <si>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</si>
  <si>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</si>
  <si>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</si>
  <si>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</si>
  <si>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</si>
  <si>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</si>
  <si>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</si>
  <si>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</si>
  <si>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</si>
  <si>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</si>
  <si>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</si>
  <si>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</si>
  <si>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</si>
  <si>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</si>
  <si>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</si>
  <si>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</si>
  <si>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</si>
  <si>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</si>
  <si>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</si>
  <si>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</si>
  <si>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</si>
  <si>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</si>
  <si>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</si>
  <si>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</si>
  <si>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</si>
  <si>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</si>
  <si>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</si>
  <si>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</si>
  <si>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</si>
  <si>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</si>
  <si>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</si>
  <si>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</si>
  <si>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</si>
  <si>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</si>
  <si>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</si>
  <si>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</si>
  <si>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</si>
  <si>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</si>
  <si>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</si>
  <si>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</si>
  <si>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</si>
  <si>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</si>
  <si>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</si>
  <si>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</si>
  <si>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</si>
  <si>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</si>
  <si>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</si>
  <si>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</si>
  <si>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</si>
  <si>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</si>
  <si>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</si>
  <si>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</si>
  <si>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</si>
  <si>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</si>
  <si>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</si>
  <si>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</si>
  <si>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</si>
  <si>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</si>
  <si>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</si>
  <si>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</si>
  <si>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</si>
  <si>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</si>
  <si>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</si>
  <si>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</si>
  <si>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</si>
  <si>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</si>
  <si>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</si>
  <si>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</si>
  <si>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</si>
  <si>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</si>
  <si>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</si>
  <si>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</si>
  <si>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</si>
  <si>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</si>
  <si>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</si>
  <si>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</si>
  <si>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</si>
  <si>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</si>
  <si>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</si>
  <si>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</si>
  <si>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</si>
  <si>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</si>
  <si>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</si>
  <si>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</si>
  <si>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</si>
  <si>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</si>
  <si>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</si>
  <si>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</si>
  <si>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</si>
  <si>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</si>
  <si>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</si>
  <si>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</si>
  <si>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</si>
  <si>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</si>
  <si>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</si>
  <si>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</si>
  <si>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</si>
  <si>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</si>
  <si>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</si>
  <si>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</si>
  <si>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</si>
  <si>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</si>
  <si>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</si>
  <si>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</si>
  <si>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</si>
  <si>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</si>
  <si>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</si>
  <si>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</si>
  <si>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</si>
  <si>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</si>
  <si>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</si>
  <si>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</si>
  <si>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</si>
  <si>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</si>
  <si>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</si>
  <si>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</si>
  <si>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</si>
  <si>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</si>
  <si>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</si>
  <si>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</si>
  <si>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</si>
  <si>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</si>
  <si>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</si>
  <si>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</si>
  <si>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</si>
  <si>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</si>
  <si>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</si>
  <si>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</si>
  <si>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</si>
  <si>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</si>
  <si>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</si>
  <si>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</si>
  <si>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</si>
  <si>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</si>
  <si>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</si>
  <si>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</si>
  <si>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</si>
  <si>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</si>
  <si>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</si>
  <si>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</si>
  <si>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</si>
  <si>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</si>
  <si>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</si>
  <si>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</si>
  <si>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</si>
  <si>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</si>
  <si>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</si>
  <si>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</si>
  <si>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</si>
  <si>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</si>
  <si>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</si>
  <si>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</si>
  <si>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</si>
  <si>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</si>
  <si>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</si>
  <si>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</si>
  <si>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</si>
  <si>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</si>
  <si>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</si>
  <si>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</si>
  <si>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</si>
  <si>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</si>
  <si>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</si>
  <si>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</si>
  <si>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</si>
  <si>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</si>
  <si>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</si>
  <si>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</si>
  <si>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</si>
  <si>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</si>
  <si>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</si>
  <si>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</si>
  <si>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</si>
  <si>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</si>
  <si>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</si>
  <si>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</si>
  <si>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</si>
  <si>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</si>
  <si>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</si>
  <si>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</si>
  <si>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</si>
  <si>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</si>
  <si>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</si>
  <si>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</si>
  <si>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</si>
  <si>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</si>
  <si>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</si>
  <si>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</si>
  <si>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</si>
  <si>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</si>
  <si>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</si>
  <si>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</si>
  <si>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</si>
  <si>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</si>
  <si>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</si>
  <si>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</si>
  <si>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</si>
  <si>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</si>
  <si>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</si>
  <si>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</si>
  <si>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</si>
  <si>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</si>
  <si>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</si>
  <si>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</si>
  <si>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</si>
  <si>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</si>
  <si>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</si>
  <si>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</si>
  <si>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</si>
  <si>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</si>
  <si>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</si>
  <si>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</si>
  <si>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</si>
  <si>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</si>
  <si>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</si>
  <si>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</si>
  <si>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</si>
  <si>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</si>
  <si>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</si>
  <si>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</si>
  <si>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</si>
  <si>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</si>
  <si>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</si>
  <si>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</si>
  <si>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</si>
  <si>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</si>
  <si>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</si>
  <si>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</si>
  <si>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</si>
  <si>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</si>
  <si>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</si>
  <si>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</si>
  <si>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</si>
  <si>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</si>
  <si>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</si>
  <si>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</si>
  <si>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</si>
  <si>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</si>
  <si>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</si>
  <si>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</si>
  <si>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</si>
  <si>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</si>
  <si>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</si>
  <si>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</si>
  <si>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</si>
  <si>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</si>
  <si>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</si>
  <si>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</si>
  <si>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</si>
  <si>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</si>
  <si>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</si>
  <si>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</si>
  <si>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</si>
  <si>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</si>
  <si>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</si>
  <si>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</si>
  <si>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</si>
  <si>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</si>
  <si>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</si>
  <si>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</si>
  <si>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</si>
  <si>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</si>
  <si>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</si>
  <si>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</si>
  <si>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</si>
  <si>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</si>
  <si>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</si>
  <si>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</si>
  <si>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</si>
  <si>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</si>
  <si>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</si>
  <si>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</si>
  <si>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</si>
  <si>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</si>
  <si>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</si>
  <si>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</si>
  <si>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</si>
  <si>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</si>
  <si>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</si>
  <si>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</si>
  <si>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</si>
  <si>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</si>
  <si>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</si>
  <si>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</si>
  <si>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</si>
  <si>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</si>
  <si>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</si>
  <si>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</si>
  <si>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</si>
  <si>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</si>
  <si>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</si>
  <si>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</si>
  <si>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</si>
  <si>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</si>
  <si>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</si>
  <si>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</si>
  <si>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</si>
  <si>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</si>
  <si>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</si>
  <si>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</si>
  <si>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</si>
  <si>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</si>
  <si>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</si>
  <si>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</si>
  <si>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</si>
  <si>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</si>
  <si>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</si>
  <si>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</si>
  <si>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</si>
  <si>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</si>
  <si>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</si>
  <si>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</si>
  <si>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</si>
  <si>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</si>
  <si>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</si>
  <si>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</si>
  <si>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</si>
  <si>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</si>
  <si>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</si>
  <si>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</si>
  <si>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</si>
  <si>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</si>
  <si>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</si>
  <si>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</si>
  <si>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</si>
  <si>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</si>
  <si>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</si>
  <si>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</si>
  <si>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</si>
  <si>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</si>
  <si>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</si>
  <si>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</si>
  <si>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</si>
  <si>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</si>
  <si>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</si>
  <si>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</si>
  <si>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</si>
  <si>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</si>
  <si>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</si>
  <si>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</si>
  <si>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</si>
  <si>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</si>
  <si>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</si>
  <si>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</si>
  <si>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</si>
  <si>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</si>
  <si>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</si>
  <si>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</si>
  <si>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</si>
  <si>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</si>
  <si>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</si>
  <si>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</si>
  <si>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</si>
  <si>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</si>
  <si>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</si>
  <si>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</si>
  <si>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</si>
  <si>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</si>
  <si>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</si>
  <si>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</si>
  <si>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</si>
  <si>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</si>
  <si>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</si>
  <si>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</si>
  <si>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</si>
  <si>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</si>
  <si>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</si>
  <si>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</si>
  <si>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</si>
  <si>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</si>
  <si>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</si>
  <si>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</si>
  <si>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</si>
  <si>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</si>
  <si>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</si>
  <si>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</si>
  <si>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</si>
  <si>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</si>
  <si>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</si>
  <si>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</si>
  <si>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</si>
  <si>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</si>
  <si>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</si>
  <si>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</si>
  <si>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</si>
  <si>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</si>
  <si>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</si>
  <si>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</si>
  <si>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</si>
  <si>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</si>
  <si>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</si>
  <si>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</si>
  <si>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</si>
  <si>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</si>
  <si>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</si>
  <si>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</si>
  <si>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</si>
  <si>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</si>
  <si>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</si>
  <si>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</si>
  <si>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</si>
  <si>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</si>
  <si>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</si>
  <si>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</si>
  <si>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</si>
  <si>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</si>
  <si>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</si>
  <si>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</si>
  <si>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</si>
  <si>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</si>
  <si>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</si>
  <si>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</si>
  <si>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</si>
  <si>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</si>
  <si>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</si>
  <si>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</si>
  <si>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</si>
  <si>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</si>
  <si>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</si>
  <si>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</si>
  <si>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</si>
  <si>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</si>
  <si>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</si>
  <si>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</si>
  <si>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</si>
  <si>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</si>
  <si>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</si>
  <si>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</si>
  <si>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</si>
  <si>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</si>
  <si>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</si>
  <si>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</si>
  <si>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</si>
  <si>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</si>
  <si>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</si>
  <si>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</si>
  <si>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</si>
  <si>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</si>
  <si>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</si>
  <si>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</si>
  <si>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</si>
  <si>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</si>
  <si>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</si>
  <si>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</si>
  <si>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</si>
  <si>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</si>
  <si>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</si>
  <si>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</si>
  <si>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</si>
  <si>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</si>
  <si>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</si>
  <si>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</si>
  <si>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</si>
  <si>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</si>
  <si>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</si>
  <si>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</si>
  <si>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</si>
  <si>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</si>
  <si>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</si>
  <si>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</si>
  <si>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</si>
  <si>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</si>
  <si>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</si>
  <si>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</si>
  <si>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</si>
  <si>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</si>
  <si>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</si>
  <si>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</si>
  <si>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</si>
  <si>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</si>
  <si>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</si>
  <si>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</si>
  <si>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</si>
  <si>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</si>
  <si>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</si>
  <si>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</si>
  <si>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</si>
  <si>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</si>
  <si>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</si>
  <si>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</si>
  <si>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</si>
  <si>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</si>
  <si>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</si>
  <si>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</si>
  <si>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</si>
  <si>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</si>
  <si>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</si>
  <si>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</si>
  <si>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</si>
  <si>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</si>
  <si>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</si>
  <si>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</si>
  <si>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</si>
  <si>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</si>
  <si>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</si>
  <si>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</si>
  <si>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</si>
  <si>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</si>
  <si>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</si>
  <si>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</si>
  <si>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</si>
  <si>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</si>
  <si>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</si>
  <si>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</si>
  <si>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</si>
  <si>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</si>
  <si>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</si>
  <si>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</si>
  <si>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</si>
  <si>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</si>
  <si>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</si>
  <si>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</si>
  <si>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</si>
  <si>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</si>
  <si>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</si>
  <si>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</si>
  <si>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</si>
  <si>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</si>
  <si>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</si>
  <si>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</si>
  <si>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</si>
  <si>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</si>
  <si>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</si>
  <si>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</si>
  <si>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</si>
  <si>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</si>
  <si>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</si>
  <si>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</si>
  <si>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</si>
  <si>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</si>
  <si>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</si>
  <si>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</si>
  <si>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</si>
  <si>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</si>
  <si>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</si>
  <si>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</si>
  <si>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</si>
  <si>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</si>
  <si>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</si>
  <si>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</si>
  <si>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</si>
  <si>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</si>
  <si>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</si>
  <si>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</si>
  <si>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</si>
  <si>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</si>
  <si>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</si>
  <si>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</si>
  <si>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</si>
  <si>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</si>
  <si>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</si>
  <si>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</si>
  <si>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</si>
  <si>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</si>
  <si>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</si>
  <si>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</si>
  <si>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</si>
  <si>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</si>
  <si>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</si>
  <si>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</si>
  <si>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</si>
  <si>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</si>
  <si>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</si>
  <si>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</si>
  <si>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</si>
  <si>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</si>
  <si>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</si>
  <si>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</si>
  <si>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</si>
  <si>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</si>
  <si>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</si>
  <si>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</si>
  <si>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</si>
  <si>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</si>
  <si>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</si>
  <si>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</si>
  <si>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</si>
  <si>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</si>
  <si>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</si>
  <si>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</si>
  <si>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</si>
  <si>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</si>
  <si>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</si>
  <si>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</si>
  <si>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</si>
  <si>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</si>
  <si>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</si>
  <si>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</si>
  <si>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</si>
  <si>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</si>
  <si>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</si>
  <si>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</si>
  <si>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</si>
  <si>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</si>
  <si>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</si>
  <si>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</si>
  <si>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</si>
  <si>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</si>
  <si>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</si>
  <si>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</si>
  <si>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</si>
  <si>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</si>
  <si>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</si>
  <si>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</si>
  <si>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</si>
  <si>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</si>
  <si>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</si>
  <si>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</si>
  <si>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</si>
  <si>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</si>
  <si>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</si>
  <si>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</si>
  <si>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</si>
  <si>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</si>
  <si>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</si>
  <si>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</si>
  <si>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</si>
  <si>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</si>
  <si>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</si>
  <si>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</si>
  <si>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</si>
  <si>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</si>
  <si>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</si>
  <si>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</si>
  <si>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</si>
  <si>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</si>
  <si>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</si>
  <si>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</si>
  <si>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</si>
  <si>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</si>
  <si>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</si>
  <si>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</si>
  <si>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</si>
  <si>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</si>
  <si>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</si>
  <si>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</si>
  <si>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</si>
  <si>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</si>
  <si>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</si>
  <si>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</si>
  <si>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</si>
  <si>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</si>
  <si>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</si>
  <si>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</si>
  <si>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</si>
  <si>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</si>
  <si>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</si>
  <si>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</si>
  <si>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</si>
  <si>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</si>
  <si>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</si>
  <si>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</si>
  <si>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</si>
  <si>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</si>
  <si>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</si>
  <si>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</si>
  <si>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</si>
  <si>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</si>
  <si>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</si>
  <si>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</si>
  <si>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</si>
  <si>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</si>
  <si>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</si>
  <si>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</si>
  <si>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</si>
  <si>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</si>
  <si>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</si>
  <si>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</si>
  <si>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</si>
  <si>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</si>
  <si>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</si>
  <si>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</si>
  <si>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</si>
  <si>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</si>
  <si>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</si>
  <si>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</si>
  <si>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</si>
  <si>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</si>
  <si>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</si>
  <si>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</si>
  <si>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</si>
  <si>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</si>
  <si>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</si>
  <si>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</si>
  <si>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</si>
  <si>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</si>
  <si>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</si>
  <si>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</si>
  <si>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</si>
  <si>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</si>
  <si>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</si>
  <si>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</si>
  <si>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</si>
  <si>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</si>
  <si>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</si>
  <si>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</si>
  <si>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</si>
  <si>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</si>
  <si>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</si>
  <si>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</si>
  <si>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</si>
  <si>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</si>
  <si>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</si>
  <si>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</si>
  <si>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</si>
  <si>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</si>
  <si>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</si>
  <si>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</si>
  <si>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</si>
  <si>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</si>
  <si>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</si>
  <si>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</si>
  <si>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</si>
  <si>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</si>
  <si>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</si>
  <si>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</si>
  <si>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</si>
  <si>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</si>
  <si>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</si>
  <si>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</si>
  <si>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</si>
  <si>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</si>
  <si>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</si>
  <si>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</si>
  <si>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</si>
  <si>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</si>
  <si>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</si>
  <si>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</si>
  <si>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</si>
  <si>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</si>
  <si>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</si>
  <si>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</si>
  <si>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</si>
  <si>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</si>
  <si>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</si>
  <si>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</si>
  <si>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</si>
  <si>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</si>
  <si>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</si>
  <si>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</si>
  <si>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</si>
  <si>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</si>
  <si>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</si>
  <si>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</si>
  <si>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</si>
  <si>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</si>
  <si>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</si>
  <si>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</si>
  <si>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</si>
  <si>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</si>
  <si>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</si>
  <si>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</si>
  <si>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</si>
  <si>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</si>
  <si>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</si>
  <si>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</si>
  <si>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</si>
  <si>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</si>
  <si>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</si>
  <si>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</si>
  <si>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</si>
  <si>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</si>
  <si>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</si>
  <si>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</si>
  <si>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</si>
  <si>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</si>
  <si>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</si>
  <si>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</si>
  <si>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</si>
  <si>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</si>
  <si>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</si>
  <si>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</si>
  <si>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</si>
  <si>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</si>
  <si>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</si>
  <si>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</si>
  <si>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</si>
  <si>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</si>
  <si>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</si>
  <si>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</si>
  <si>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</si>
  <si>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</si>
  <si>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</si>
  <si>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</si>
  <si>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</si>
  <si>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</si>
  <si>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</si>
  <si>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</si>
  <si>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</si>
  <si>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</si>
  <si>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</si>
  <si>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</si>
  <si>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</si>
  <si>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</si>
  <si>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</si>
  <si>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</si>
  <si>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</si>
  <si>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</si>
  <si>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</si>
  <si>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</si>
  <si>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</si>
  <si>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</si>
  <si>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</si>
  <si>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</si>
  <si>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</si>
  <si>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</si>
  <si>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</si>
  <si>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</si>
  <si>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</si>
  <si>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</si>
  <si>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</si>
  <si>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</si>
  <si>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</si>
  <si>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</si>
  <si>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</si>
  <si>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</si>
  <si>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</si>
  <si>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</si>
  <si>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</si>
  <si>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</si>
  <si>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</si>
  <si>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</si>
  <si>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</si>
  <si>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</si>
  <si>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</si>
  <si>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</si>
  <si>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</si>
  <si>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</si>
  <si>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</si>
  <si>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</si>
  <si>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</si>
  <si>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</si>
  <si>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</si>
  <si>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</si>
  <si>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</si>
  <si>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</si>
  <si>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</si>
  <si>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</si>
  <si>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</si>
  <si>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</si>
  <si>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</si>
  <si>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</si>
  <si>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</si>
  <si>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</si>
  <si>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</si>
  <si>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</si>
  <si>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</si>
  <si>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</si>
  <si>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</si>
  <si>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</si>
  <si>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</si>
  <si>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</si>
  <si>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</si>
  <si>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</si>
  <si>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</si>
  <si>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</si>
  <si>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</si>
  <si>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</si>
  <si>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</si>
  <si>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</si>
  <si>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</si>
  <si>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</si>
  <si>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</si>
  <si>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</si>
  <si>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</si>
  <si>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</si>
  <si>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</si>
  <si>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</si>
  <si>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</si>
  <si>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</si>
  <si>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</si>
  <si>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</si>
  <si>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</si>
  <si>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</si>
  <si>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</si>
  <si>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</si>
  <si>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</si>
  <si>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</si>
  <si>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</si>
  <si>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</si>
  <si>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</si>
  <si>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</si>
  <si>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</si>
  <si>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</si>
  <si>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</si>
  <si>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</si>
  <si>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</si>
  <si>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</si>
  <si>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</si>
  <si>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</si>
  <si>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</si>
  <si>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</si>
  <si>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</si>
  <si>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</si>
  <si>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</si>
  <si>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</si>
  <si>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</si>
  <si>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</si>
  <si>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</si>
  <si>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</si>
  <si>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</si>
  <si>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</si>
  <si>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</si>
  <si>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</si>
  <si>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</si>
  <si>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</si>
  <si>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</si>
  <si>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</si>
  <si>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</si>
  <si>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</si>
  <si>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</si>
  <si>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</si>
  <si>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</si>
  <si>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</si>
  <si>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</si>
  <si>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</si>
  <si>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</si>
  <si>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</si>
  <si>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</si>
  <si>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</si>
  <si>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</si>
  <si>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</si>
  <si>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</si>
  <si>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</si>
  <si>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</si>
  <si>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</si>
  <si>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</si>
  <si>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</si>
  <si>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</si>
  <si>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</si>
  <si>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</si>
  <si>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</si>
  <si>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</si>
  <si>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</si>
  <si>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</si>
  <si>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</si>
  <si>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</si>
  <si>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</si>
  <si>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</si>
  <si>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</si>
  <si>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</si>
  <si>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</si>
  <si>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</si>
  <si>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</si>
  <si>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</si>
  <si>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</si>
  <si>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</si>
  <si>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</si>
  <si>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</si>
  <si>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</si>
  <si>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</si>
  <si>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</si>
  <si>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</si>
  <si>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</si>
  <si>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</si>
  <si>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</si>
  <si>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</si>
  <si>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</si>
  <si>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</si>
  <si>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</si>
  <si>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</si>
  <si>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</si>
  <si>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</si>
  <si>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</si>
  <si>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</si>
  <si>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</si>
  <si>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</si>
  <si>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</si>
  <si>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</si>
  <si>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</si>
  <si>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</si>
  <si>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</si>
  <si>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</si>
  <si>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</si>
  <si>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</si>
  <si>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</si>
  <si>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</si>
  <si>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</si>
  <si>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</si>
  <si>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</si>
  <si>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</si>
  <si>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</si>
  <si>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</si>
  <si>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</si>
  <si>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</si>
  <si>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</si>
  <si>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</si>
  <si>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</si>
  <si>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</si>
  <si>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</si>
  <si>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</si>
  <si>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</si>
  <si>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</si>
  <si>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</si>
  <si>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</si>
  <si>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</si>
  <si>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</si>
  <si>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</si>
  <si>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</si>
  <si>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</si>
  <si>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</si>
  <si>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</si>
  <si>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</si>
  <si>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</si>
  <si>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</si>
  <si>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</si>
  <si>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</si>
  <si>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</si>
  <si>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</si>
  <si>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</si>
  <si>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</si>
  <si>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</si>
  <si>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</si>
  <si>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</si>
  <si>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</si>
  <si>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</si>
  <si>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</si>
  <si>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</si>
  <si>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</si>
  <si>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</si>
  <si>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</si>
  <si>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</si>
  <si>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</si>
  <si>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</si>
  <si>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</si>
  <si>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</si>
  <si>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</si>
  <si>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</si>
  <si>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</si>
  <si>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</si>
  <si>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</si>
  <si>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</si>
  <si>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</si>
  <si>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</si>
  <si>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</si>
  <si>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</si>
  <si>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</si>
  <si>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</si>
  <si>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</si>
  <si>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</si>
  <si>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</si>
  <si>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</si>
  <si>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</si>
  <si>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</si>
  <si>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</si>
  <si>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</si>
  <si>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</si>
  <si>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</si>
  <si>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</si>
  <si>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</si>
  <si>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</si>
  <si>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</si>
  <si>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</si>
  <si>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</si>
  <si>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</si>
  <si>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</si>
  <si>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</si>
  <si>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</si>
  <si>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</si>
  <si>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</si>
  <si>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</si>
  <si>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</si>
  <si>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</si>
  <si>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</si>
  <si>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</si>
  <si>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</si>
  <si>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</si>
  <si>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</si>
  <si>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</si>
  <si>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</si>
  <si>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</si>
  <si>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</si>
  <si>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</si>
  <si>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</si>
  <si>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</si>
  <si>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</si>
  <si>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</si>
  <si>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</si>
  <si>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</si>
  <si>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</si>
  <si>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</si>
  <si>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</si>
  <si>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</si>
  <si>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</si>
  <si>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</si>
  <si>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</si>
  <si>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</si>
  <si>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</si>
  <si>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</si>
  <si>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</si>
  <si>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</si>
  <si>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</si>
  <si>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</si>
  <si>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</si>
  <si>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</si>
  <si>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</si>
  <si>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</si>
  <si>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</si>
  <si>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</si>
  <si>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</si>
  <si>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</si>
  <si>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</si>
  <si>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</si>
  <si>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</si>
  <si>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</si>
  <si>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</si>
  <si>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</si>
  <si>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</si>
  <si>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</si>
  <si>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</si>
  <si>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</si>
  <si>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</si>
  <si>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</si>
  <si>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</si>
  <si>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</si>
  <si>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</si>
  <si>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</si>
  <si>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</si>
  <si>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</si>
  <si>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</si>
  <si>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</si>
  <si>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</si>
  <si>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</si>
  <si>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</si>
  <si>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</si>
  <si>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</si>
  <si>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</si>
  <si>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</si>
  <si>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</si>
  <si>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</si>
  <si>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</si>
  <si>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</si>
  <si>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</si>
  <si>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</si>
  <si>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</si>
  <si>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</si>
  <si>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</si>
  <si>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</si>
  <si>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</si>
  <si>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</si>
  <si>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</si>
  <si>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</si>
  <si>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</si>
  <si>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</si>
  <si>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</si>
  <si>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</si>
  <si>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</si>
  <si>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</si>
  <si>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</si>
  <si>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</si>
  <si>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</si>
  <si>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</si>
  <si>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</si>
  <si>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</si>
  <si>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</si>
  <si>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</si>
  <si>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</si>
  <si>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</si>
  <si>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</si>
  <si>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</si>
  <si>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</si>
  <si>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</si>
  <si>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</si>
  <si>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</si>
  <si>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</si>
  <si>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</si>
  <si>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</si>
  <si>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</si>
  <si>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</si>
  <si>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</si>
  <si>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</si>
  <si>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</si>
  <si>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</si>
  <si>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</si>
  <si>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</si>
  <si>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</si>
  <si>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</si>
  <si>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</si>
  <si>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</si>
  <si>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</si>
  <si>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</si>
  <si>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</si>
  <si>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</si>
  <si>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</si>
  <si>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</si>
  <si>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</si>
  <si>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</si>
  <si>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</si>
  <si>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</si>
  <si>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</si>
  <si>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</si>
  <si>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</si>
  <si>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</si>
  <si>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</si>
  <si>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</si>
  <si>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</si>
  <si>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</si>
  <si>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</si>
  <si>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</si>
  <si>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</si>
  <si>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</si>
  <si>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</si>
  <si>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</si>
  <si>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</si>
  <si>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</si>
  <si>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</si>
  <si>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</si>
  <si>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</si>
  <si>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</si>
  <si>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</si>
  <si>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</si>
  <si>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</si>
  <si>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</si>
  <si>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</si>
  <si>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</si>
  <si>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</si>
  <si>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</si>
  <si>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</si>
  <si>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</si>
  <si>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</si>
  <si>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</si>
  <si>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</si>
  <si>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</si>
  <si>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</si>
  <si>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</si>
  <si>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</si>
  <si>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</si>
  <si>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</si>
  <si>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</si>
  <si>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</si>
  <si>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</si>
  <si>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</si>
  <si>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</si>
  <si>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</si>
  <si>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</si>
  <si>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</si>
  <si>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</si>
  <si>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</si>
  <si>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</si>
  <si>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</si>
  <si>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</si>
  <si>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</si>
  <si>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</si>
  <si>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</si>
  <si>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</si>
  <si>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</si>
  <si>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</si>
  <si>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</si>
  <si>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</si>
  <si>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</si>
  <si>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</si>
  <si>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</si>
  <si>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</si>
  <si>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</si>
  <si>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</si>
  <si>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</si>
  <si>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</si>
  <si>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</si>
  <si>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</si>
  <si>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</si>
  <si>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</si>
  <si>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</si>
  <si>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</si>
  <si>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</si>
  <si>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</si>
  <si>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</si>
  <si>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</si>
  <si>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</si>
  <si>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</si>
  <si>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</si>
  <si>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</si>
  <si>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</si>
  <si>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</si>
  <si>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</si>
  <si>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</si>
  <si>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</si>
  <si>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</si>
  <si>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</si>
  <si>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</si>
  <si>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</si>
  <si>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</si>
  <si>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</si>
  <si>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</si>
  <si>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</si>
  <si>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</si>
  <si>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</si>
  <si>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</si>
  <si>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</si>
  <si>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</si>
  <si>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</si>
  <si>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</si>
  <si>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</si>
  <si>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</si>
  <si>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</si>
  <si>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</si>
  <si>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</si>
  <si>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</si>
  <si>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</si>
  <si>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</si>
  <si>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</si>
  <si>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</si>
  <si>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</si>
  <si>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</si>
  <si>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</si>
  <si>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</si>
  <si>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</si>
  <si>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</si>
  <si>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</si>
  <si>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</si>
  <si>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</si>
  <si>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</si>
  <si>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</si>
  <si>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</si>
  <si>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</si>
  <si>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</si>
  <si>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</si>
  <si>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</si>
  <si>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</si>
  <si>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</si>
  <si>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</si>
  <si>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</si>
  <si>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</si>
  <si>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</si>
  <si>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</si>
  <si>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</si>
  <si>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</si>
  <si>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</si>
  <si>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</si>
  <si>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</si>
  <si>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</si>
  <si>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</si>
  <si>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</si>
  <si>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</si>
  <si>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</si>
  <si>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</si>
  <si>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</si>
  <si>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</si>
  <si>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</si>
  <si>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</si>
  <si>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</si>
  <si>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</si>
  <si>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</si>
  <si>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</si>
  <si>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</si>
  <si>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</si>
  <si>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</si>
  <si>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</si>
  <si>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</si>
  <si>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</si>
  <si>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</si>
  <si>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</si>
  <si>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</si>
  <si>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</si>
  <si>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</si>
  <si>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</si>
  <si>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</si>
  <si>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</si>
  <si>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</si>
  <si>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</si>
  <si>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</si>
  <si>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</si>
  <si>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</si>
  <si>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</si>
  <si>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</si>
  <si>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</si>
  <si>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</si>
  <si>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</si>
  <si>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</si>
  <si>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</si>
  <si>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</si>
  <si>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</si>
  <si>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</si>
  <si>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</si>
  <si>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</si>
  <si>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</si>
  <si>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</si>
  <si>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</si>
  <si>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</si>
  <si>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</si>
  <si>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</si>
  <si>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</si>
  <si>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</si>
  <si>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</si>
  <si>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</si>
  <si>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</si>
  <si>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</si>
  <si>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</si>
  <si>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</si>
  <si>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</si>
  <si>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</si>
  <si>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</si>
  <si>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</si>
  <si>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</si>
  <si>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</si>
  <si>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</si>
  <si>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</si>
  <si>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</si>
  <si>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</si>
  <si>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</si>
  <si>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</si>
  <si>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</si>
  <si>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</si>
  <si>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</si>
  <si>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</si>
  <si>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</si>
  <si>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</si>
  <si>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</si>
  <si>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</si>
  <si>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</si>
  <si>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</si>
  <si>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</si>
  <si>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</si>
  <si>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</si>
  <si>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</si>
  <si>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</si>
  <si>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</si>
  <si>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</si>
  <si>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</si>
  <si>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</si>
  <si>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</si>
  <si>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</si>
  <si>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</si>
  <si>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</si>
  <si>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</si>
  <si>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</si>
  <si>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</si>
  <si>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</si>
  <si>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</si>
  <si>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</si>
  <si>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</si>
  <si>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</si>
  <si>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</si>
  <si>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</si>
  <si>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</si>
  <si>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</si>
  <si>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</si>
  <si>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</si>
  <si>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</si>
  <si>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</si>
  <si>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</si>
  <si>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</si>
  <si>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</si>
  <si>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</si>
  <si>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</si>
  <si>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</si>
  <si>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</si>
  <si>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</si>
  <si>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</si>
  <si>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</si>
  <si>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</si>
  <si>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</si>
  <si>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</si>
  <si>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</si>
  <si>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</si>
  <si>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</si>
  <si>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</si>
  <si>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</si>
  <si>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</si>
  <si>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</si>
  <si>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</si>
  <si>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</si>
  <si>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</si>
  <si>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</si>
  <si>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</si>
  <si>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</si>
  <si>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</si>
  <si>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</si>
  <si>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</si>
  <si>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</si>
  <si>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</si>
  <si>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</si>
  <si>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</si>
  <si>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</si>
  <si>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</si>
  <si>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</si>
  <si>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</si>
  <si>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</si>
  <si>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</si>
  <si>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</si>
  <si>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</si>
  <si>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</si>
  <si>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</si>
  <si>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</si>
  <si>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</si>
  <si>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</si>
  <si>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</si>
  <si>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</si>
  <si>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</si>
  <si>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</si>
  <si>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</si>
  <si>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</si>
  <si>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</si>
  <si>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</si>
  <si>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</si>
  <si>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</si>
  <si>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</si>
  <si>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</si>
  <si>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</si>
  <si>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</si>
  <si>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</si>
  <si>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</si>
  <si>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</si>
  <si>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</si>
  <si>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</si>
  <si>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</si>
  <si>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</si>
  <si>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</si>
  <si>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</si>
  <si>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</si>
  <si>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</si>
  <si>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</si>
  <si>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</si>
  <si>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</si>
  <si>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</si>
  <si>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</si>
  <si>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</si>
  <si>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</si>
  <si>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</si>
  <si>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</si>
  <si>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</si>
  <si>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</si>
  <si>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</si>
  <si>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</si>
  <si>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</si>
  <si>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</si>
  <si>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</si>
  <si>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</si>
  <si>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</si>
  <si>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</si>
  <si>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</si>
  <si>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</si>
  <si>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</si>
  <si>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</si>
  <si>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</si>
  <si>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</si>
  <si>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</si>
  <si>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</si>
  <si>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</si>
  <si>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</si>
  <si>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</si>
  <si>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</si>
  <si>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</si>
  <si>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</si>
  <si>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</si>
  <si>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</si>
  <si>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</si>
  <si>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</si>
  <si>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</si>
  <si>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</si>
  <si>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</si>
  <si>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</si>
  <si>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</si>
  <si>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</si>
  <si>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</si>
  <si>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</si>
  <si>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</si>
  <si>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</si>
  <si>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</si>
  <si>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</si>
  <si>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</si>
  <si>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</si>
  <si>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</si>
  <si>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</si>
  <si>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</si>
  <si>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</si>
  <si>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</si>
  <si>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</si>
  <si>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</si>
  <si>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</si>
  <si>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</si>
  <si>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</si>
  <si>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</si>
  <si>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</si>
  <si>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</si>
  <si>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</si>
  <si>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</si>
  <si>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</si>
  <si>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</si>
  <si>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</si>
  <si>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</si>
  <si>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</si>
  <si>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</si>
  <si>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</si>
  <si>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</si>
  <si>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</si>
  <si>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</si>
  <si>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</si>
  <si>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</si>
  <si>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</si>
  <si>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</si>
  <si>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</si>
  <si>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</si>
  <si>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</si>
  <si>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</si>
  <si>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</si>
  <si>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</si>
  <si>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</si>
  <si>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</si>
  <si>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</si>
  <si>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</si>
  <si>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</si>
  <si>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</si>
  <si>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</si>
  <si>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</si>
  <si>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</si>
  <si>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</si>
  <si>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</si>
  <si>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</si>
  <si>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</si>
  <si>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</si>
  <si>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</si>
  <si>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</si>
  <si>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</si>
  <si>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</si>
  <si>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</si>
  <si>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</si>
  <si>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</si>
  <si>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</si>
  <si>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</si>
  <si>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</si>
  <si>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</si>
  <si>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</si>
  <si>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</si>
  <si>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</si>
  <si>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</si>
  <si>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</si>
  <si>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</si>
  <si>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</si>
  <si>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</si>
  <si>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</si>
  <si>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</si>
  <si>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</si>
  <si>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</si>
  <si>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</si>
  <si>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</si>
  <si>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</si>
  <si>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</si>
  <si>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</si>
  <si>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</si>
  <si>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</si>
  <si>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</si>
  <si>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</si>
  <si>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</si>
  <si>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</si>
  <si>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</si>
  <si>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</si>
  <si>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</si>
  <si>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</si>
  <si>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</si>
  <si>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</si>
  <si>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</si>
  <si>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</si>
  <si>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</si>
  <si>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</si>
  <si>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</si>
  <si>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</si>
  <si>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</si>
  <si>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</si>
  <si>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</si>
  <si>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</si>
  <si>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</si>
  <si>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</si>
  <si>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</si>
  <si>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</si>
  <si>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</si>
  <si>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</si>
  <si>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</si>
  <si>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</si>
  <si>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</si>
  <si>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</si>
  <si>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</si>
  <si>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</si>
  <si>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</si>
  <si>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</si>
  <si>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</si>
  <si>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</si>
  <si>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</si>
  <si>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</si>
  <si>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</si>
  <si>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</si>
  <si>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</si>
  <si>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</si>
  <si>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</si>
  <si>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</si>
  <si>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</si>
  <si>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</si>
  <si>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</si>
  <si>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</si>
  <si>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</si>
  <si>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</si>
  <si>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</si>
  <si>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</si>
  <si>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</si>
  <si>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</si>
  <si>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</si>
  <si>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</si>
  <si>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</si>
  <si>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</si>
  <si>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</si>
  <si>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</si>
  <si>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</si>
  <si>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</si>
  <si>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</si>
  <si>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</si>
  <si>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</si>
  <si>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</si>
  <si>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</si>
  <si>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</si>
  <si>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</si>
  <si>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</si>
  <si>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</si>
  <si>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</si>
  <si>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</si>
  <si>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</si>
  <si>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</si>
  <si>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</si>
  <si>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</si>
  <si>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</si>
  <si>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</si>
  <si>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</si>
  <si>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</si>
  <si>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</si>
  <si>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</si>
  <si>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</si>
  <si>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</si>
  <si>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</si>
  <si>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</si>
  <si>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</si>
  <si>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</si>
  <si>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</si>
  <si>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</si>
  <si>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</si>
  <si>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</si>
  <si>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</si>
  <si>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</si>
  <si>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</si>
  <si>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</si>
  <si>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</si>
  <si>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</si>
  <si>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</si>
  <si>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</si>
  <si>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</si>
  <si>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</si>
  <si>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</si>
  <si>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</si>
  <si>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</si>
  <si>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</si>
  <si>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</si>
  <si>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</si>
  <si>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</si>
  <si>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</si>
  <si>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</si>
  <si>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</si>
  <si>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</si>
  <si>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</si>
  <si>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</si>
  <si>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</si>
  <si>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</si>
  <si>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</si>
  <si>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</si>
  <si>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</si>
  <si>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</si>
  <si>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</si>
  <si>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</si>
  <si>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</si>
  <si>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</si>
  <si>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</si>
  <si>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</si>
  <si>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</si>
  <si>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</si>
  <si>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</si>
  <si>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</si>
  <si>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</si>
  <si>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</si>
  <si>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</si>
  <si>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</si>
  <si>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</si>
  <si>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</si>
  <si>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</si>
  <si>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</si>
  <si>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</si>
  <si>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</si>
  <si>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</si>
  <si>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</si>
  <si>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</si>
  <si>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</si>
  <si>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</si>
  <si>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</si>
  <si>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</si>
  <si>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</si>
  <si>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</si>
  <si>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</si>
  <si>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</si>
  <si>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</si>
  <si>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</si>
  <si>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</si>
  <si>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</si>
  <si>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</si>
  <si>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</si>
  <si>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</si>
  <si>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</si>
  <si>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</si>
  <si>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</si>
  <si>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</si>
  <si>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</si>
  <si>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</si>
  <si>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</si>
  <si>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</si>
  <si>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</si>
  <si>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</si>
  <si>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</si>
  <si>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</si>
  <si>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</si>
  <si>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</si>
  <si>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</si>
  <si>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</si>
  <si>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</si>
  <si>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</si>
  <si>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</si>
  <si>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</si>
  <si>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</si>
  <si>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</si>
  <si>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</si>
  <si>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</si>
  <si>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</si>
  <si>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</si>
  <si>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</si>
  <si>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</si>
  <si>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</si>
  <si>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</si>
  <si>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</si>
  <si>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</si>
  <si>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</si>
  <si>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</si>
  <si>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</si>
  <si>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</si>
  <si>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</si>
  <si>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</si>
  <si>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</si>
  <si>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</si>
  <si>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</si>
  <si>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</si>
  <si>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</si>
  <si>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</si>
  <si>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</si>
  <si>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</si>
  <si>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</si>
  <si>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</si>
  <si>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</si>
  <si>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</si>
  <si>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</si>
  <si>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</si>
  <si>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</si>
  <si>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</si>
  <si>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</si>
  <si>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</si>
  <si>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</si>
  <si>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</si>
  <si>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</si>
  <si>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</si>
  <si>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</si>
  <si>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</si>
  <si>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</si>
  <si>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</si>
  <si>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</si>
  <si>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</si>
  <si>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</si>
  <si>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</si>
  <si>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</si>
  <si>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</si>
  <si>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</si>
  <si>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</si>
  <si>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</si>
  <si>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</si>
  <si>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</si>
  <si>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</si>
  <si>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</si>
  <si>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</si>
  <si>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</si>
  <si>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</si>
  <si>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</si>
  <si>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</si>
  <si>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</si>
  <si>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</si>
  <si>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</si>
  <si>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</si>
  <si>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</si>
  <si>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</si>
  <si>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</si>
  <si>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</si>
  <si>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</si>
  <si>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</si>
  <si>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</si>
  <si>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</si>
  <si>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</si>
  <si>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</si>
  <si>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</si>
  <si>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</si>
  <si>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</si>
  <si>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</si>
  <si>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</si>
  <si>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</si>
  <si>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</si>
  <si>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</si>
  <si>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</si>
  <si>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</si>
  <si>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</si>
  <si>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</si>
  <si>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</si>
  <si>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</si>
  <si>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</si>
  <si>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</si>
  <si>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</si>
  <si>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</si>
  <si>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</si>
  <si>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</si>
  <si>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</si>
  <si>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</si>
  <si>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</si>
  <si>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</si>
  <si>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</si>
  <si>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</si>
  <si>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</si>
  <si>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</si>
  <si>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</si>
  <si>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</si>
  <si>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</si>
  <si>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</si>
  <si>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</si>
  <si>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</si>
  <si>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</si>
  <si>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</si>
  <si>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</si>
  <si>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</si>
  <si>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</si>
  <si>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</si>
  <si>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</si>
  <si>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</si>
  <si>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</si>
  <si>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</si>
  <si>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</si>
  <si>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</si>
  <si>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</si>
  <si>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</si>
  <si>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</si>
  <si>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</si>
  <si>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</si>
  <si>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</si>
  <si>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</si>
  <si>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</si>
  <si>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</si>
  <si>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</si>
  <si>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</si>
  <si>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</si>
  <si>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</si>
  <si>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</si>
  <si>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</si>
  <si>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</si>
  <si>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</si>
  <si>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</si>
  <si>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</si>
  <si>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</si>
  <si>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</si>
  <si>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</si>
  <si>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</si>
  <si>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</si>
  <si>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</si>
  <si>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</si>
  <si>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</si>
  <si>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</si>
  <si>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</si>
  <si>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</si>
  <si>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</si>
  <si>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</si>
  <si>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</si>
  <si>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</si>
  <si>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</si>
  <si>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</si>
  <si>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</si>
  <si>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</si>
  <si>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</si>
  <si>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</si>
  <si>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</si>
  <si>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</si>
  <si>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</si>
  <si>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</si>
  <si>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</si>
  <si>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</si>
  <si>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</si>
  <si>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</si>
  <si>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</si>
  <si>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</si>
  <si>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</si>
  <si>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</si>
  <si>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</si>
  <si>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</si>
  <si>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</si>
  <si>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</si>
  <si>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</si>
  <si>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</si>
  <si>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</si>
  <si>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</si>
  <si>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</si>
  <si>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</si>
  <si>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</si>
  <si>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</si>
  <si>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</si>
  <si>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</si>
  <si>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</si>
  <si>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</si>
  <si>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</si>
  <si>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</si>
  <si>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</si>
  <si>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</si>
  <si>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</si>
  <si>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</si>
  <si>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</si>
  <si>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</si>
  <si>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</si>
  <si>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</si>
  <si>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</si>
  <si>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</si>
  <si>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</si>
  <si>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</si>
  <si>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</si>
  <si>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</si>
  <si>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</si>
  <si>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</si>
  <si>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</si>
  <si>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</si>
  <si>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</si>
  <si>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</si>
  <si>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</si>
  <si>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</si>
  <si>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</si>
  <si>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</si>
  <si>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</si>
  <si>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</si>
  <si>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</si>
  <si>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</si>
  <si>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</si>
  <si>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</si>
  <si>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</si>
  <si>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</si>
  <si>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</si>
  <si>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</si>
  <si>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</si>
  <si>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</si>
  <si>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</si>
  <si>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</si>
  <si>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</si>
  <si>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</si>
  <si>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</si>
  <si>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</si>
  <si>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</si>
  <si>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</si>
  <si>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</si>
  <si>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</si>
  <si>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</si>
  <si>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</si>
  <si>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</si>
  <si>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</si>
  <si>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</si>
  <si>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</si>
  <si>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</si>
  <si>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</si>
  <si>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</si>
  <si>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</si>
  <si>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</si>
  <si>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</si>
  <si>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</si>
  <si>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</si>
  <si>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</si>
  <si>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</si>
  <si>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</si>
  <si>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</si>
  <si>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</si>
  <si>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</si>
  <si>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</si>
  <si>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</si>
  <si>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</si>
  <si>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</si>
  <si>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</si>
  <si>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</si>
  <si>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</si>
  <si>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</si>
  <si>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</si>
  <si>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</si>
  <si>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</si>
  <si>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</si>
  <si>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</si>
  <si>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</si>
  <si>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</si>
  <si>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</si>
  <si>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</si>
  <si>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</si>
  <si>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</si>
  <si>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</si>
  <si>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</si>
  <si>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</si>
  <si>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</si>
  <si>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</si>
  <si>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</si>
  <si>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</si>
  <si>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</si>
  <si>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</si>
  <si>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</si>
  <si>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</si>
  <si>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</si>
  <si>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</si>
  <si>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</si>
  <si>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</si>
  <si>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</si>
  <si>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</si>
  <si>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</si>
  <si>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</si>
  <si>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</si>
  <si>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</si>
  <si>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</si>
  <si>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</si>
  <si>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</si>
  <si>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</si>
  <si>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</si>
  <si>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</si>
  <si>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</si>
  <si>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</si>
  <si>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</si>
  <si>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</si>
  <si>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</si>
  <si>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</si>
  <si>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</si>
  <si>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</si>
  <si>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</si>
  <si>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</si>
  <si>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</si>
  <si>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</si>
  <si>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</si>
  <si>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</si>
  <si>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</si>
  <si>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</si>
  <si>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</si>
  <si>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</si>
  <si>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</si>
  <si>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</si>
  <si>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</si>
  <si>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</si>
  <si>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</si>
  <si>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</si>
  <si>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</si>
  <si>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</si>
  <si>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</si>
  <si>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</si>
  <si>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</si>
  <si>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</si>
  <si>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</si>
  <si>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</si>
  <si>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</si>
  <si>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</si>
  <si>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</si>
  <si>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</si>
  <si>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</si>
  <si>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</si>
  <si>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</si>
  <si>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</si>
  <si>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</si>
  <si>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</si>
  <si>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</si>
  <si>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</si>
  <si>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</si>
  <si>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</si>
  <si>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</si>
  <si>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</si>
  <si>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</si>
  <si>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</si>
  <si>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</si>
  <si>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</si>
  <si>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</si>
  <si>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</si>
  <si>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</si>
  <si>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</si>
  <si>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</si>
  <si>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</si>
  <si>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</si>
  <si>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</si>
  <si>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</si>
  <si>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</si>
  <si>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</si>
  <si>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</si>
  <si>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</si>
  <si>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</si>
  <si>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</si>
  <si>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</si>
  <si>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</si>
  <si>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</si>
  <si>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</si>
  <si>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</si>
  <si>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</si>
  <si>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</si>
  <si>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</si>
  <si>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</si>
  <si>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</si>
  <si>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</si>
  <si>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</si>
  <si>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</si>
  <si>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</si>
  <si>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</si>
  <si>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</si>
  <si>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</si>
  <si>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</si>
  <si>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</si>
  <si>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</si>
  <si>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</si>
  <si>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</si>
  <si>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</si>
  <si>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</si>
  <si>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</si>
  <si>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</si>
  <si>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</si>
  <si>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</si>
  <si>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</si>
  <si>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</si>
  <si>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</si>
  <si>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</si>
  <si>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</si>
  <si>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</si>
  <si>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</si>
  <si>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</si>
  <si>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</si>
  <si>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</si>
  <si>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</si>
  <si>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</si>
  <si>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</si>
  <si>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</si>
  <si>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</si>
  <si>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</si>
  <si>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</si>
  <si>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</si>
  <si>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</si>
  <si>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</si>
  <si>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</si>
  <si>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</si>
  <si>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</si>
  <si>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</si>
  <si>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</si>
  <si>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</si>
  <si>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</si>
  <si>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</si>
  <si>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</si>
  <si>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</si>
  <si>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</si>
  <si>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</si>
  <si>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</si>
  <si>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</si>
  <si>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</si>
  <si>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</si>
  <si>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</si>
  <si>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</si>
  <si>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</si>
  <si>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</si>
  <si>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</si>
  <si>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</si>
  <si>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</si>
  <si>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</si>
  <si>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</si>
  <si>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</si>
  <si>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</si>
  <si>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</si>
  <si>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</si>
  <si>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</si>
  <si>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</si>
  <si>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</si>
  <si>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</si>
  <si>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</si>
  <si>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</si>
  <si>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</si>
  <si>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</si>
  <si>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</si>
  <si>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</si>
  <si>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</si>
  <si>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</si>
  <si>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</si>
  <si>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</si>
  <si>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</si>
  <si>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</si>
  <si>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</si>
  <si>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</si>
  <si>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</si>
  <si>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</si>
  <si>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</si>
  <si>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</si>
  <si>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</si>
  <si>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</si>
  <si>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</si>
  <si>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</si>
  <si>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</si>
  <si>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</si>
  <si>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</si>
  <si>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</si>
  <si>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</si>
  <si>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</si>
  <si>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</si>
  <si>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</si>
  <si>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</si>
  <si>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</si>
  <si>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</si>
  <si>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</si>
  <si>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</si>
  <si>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</si>
  <si>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</si>
  <si>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</si>
  <si>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</si>
  <si>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</si>
  <si>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</si>
  <si>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</si>
  <si>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</si>
  <si>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</si>
  <si>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</si>
  <si>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</si>
  <si>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</si>
  <si>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</si>
  <si>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</si>
  <si>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</si>
  <si>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</si>
  <si>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</si>
  <si>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</si>
  <si>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</si>
  <si>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</si>
  <si>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</si>
  <si>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</si>
  <si>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</si>
  <si>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</si>
  <si>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</si>
  <si>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</si>
  <si>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</si>
  <si>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</si>
  <si>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</si>
  <si>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</si>
  <si>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</si>
  <si>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</si>
  <si>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</si>
  <si>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</si>
  <si>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</si>
  <si>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</si>
  <si>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</si>
  <si>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</si>
  <si>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</si>
  <si>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</si>
  <si>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</si>
  <si>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</si>
  <si>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</si>
  <si>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</si>
  <si>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</si>
  <si>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</si>
  <si>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</si>
  <si>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</si>
  <si>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</si>
  <si>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</si>
  <si>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</si>
  <si>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</si>
  <si>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</si>
  <si>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</si>
  <si>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</si>
  <si>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</si>
  <si>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</si>
  <si>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</si>
  <si>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</si>
  <si>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</si>
  <si>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</si>
  <si>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</si>
  <si>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</si>
  <si>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</si>
  <si>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</si>
  <si>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</si>
  <si>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</si>
  <si>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</si>
  <si>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</si>
  <si>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</si>
  <si>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</si>
  <si>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</si>
  <si>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</si>
  <si>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</si>
  <si>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</si>
  <si>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</si>
  <si>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</si>
  <si>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</si>
  <si>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</si>
  <si>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</si>
  <si>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</si>
  <si>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</si>
  <si>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</si>
  <si>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</si>
  <si>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</si>
  <si>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</si>
  <si>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</si>
  <si>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</si>
  <si>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</si>
  <si>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</si>
  <si>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</si>
  <si>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</si>
  <si>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</si>
  <si>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</si>
  <si>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</si>
  <si>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</si>
  <si>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</si>
  <si>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</si>
  <si>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</si>
  <si>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</si>
  <si>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</si>
  <si>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</si>
  <si>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</si>
  <si>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</si>
  <si>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</si>
  <si>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</si>
  <si>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</si>
  <si>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</si>
  <si>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</si>
  <si>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</si>
  <si>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</si>
  <si>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</si>
  <si>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</si>
  <si>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</si>
  <si>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</si>
  <si>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</si>
  <si>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</si>
  <si>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</si>
  <si>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</si>
  <si>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</si>
  <si>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</si>
  <si>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</si>
  <si>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</si>
  <si>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</si>
  <si>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</si>
  <si>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</si>
  <si>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</si>
  <si>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</si>
  <si>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</si>
  <si>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</si>
  <si>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</si>
  <si>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</si>
  <si>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</si>
  <si>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</si>
  <si>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</si>
  <si>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</si>
  <si>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</si>
  <si>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</si>
  <si>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</si>
  <si>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</si>
  <si>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</si>
  <si>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</si>
  <si>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</si>
  <si>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</si>
  <si>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</si>
  <si>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</si>
  <si>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</si>
  <si>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</si>
  <si>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</si>
  <si>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</si>
  <si>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</si>
  <si>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</si>
  <si>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</si>
  <si>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</si>
  <si>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</si>
  <si>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</si>
  <si>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</si>
  <si>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</si>
  <si>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</si>
  <si>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</si>
  <si>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</si>
  <si>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</si>
  <si>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</si>
  <si>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</si>
  <si>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</si>
  <si>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</si>
  <si>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</si>
  <si>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</si>
  <si>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</si>
  <si>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</si>
  <si>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</si>
  <si>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</si>
  <si>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</si>
  <si>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</si>
  <si>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</si>
  <si>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</si>
  <si>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</si>
  <si>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</si>
  <si>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</si>
  <si>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</si>
  <si>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</si>
  <si>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</si>
  <si>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</si>
  <si>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</si>
  <si>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</si>
  <si>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</si>
  <si>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</si>
  <si>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</si>
  <si>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</si>
  <si>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</si>
  <si>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</si>
  <si>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</si>
  <si>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</si>
  <si>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</si>
  <si>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</si>
  <si>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</si>
  <si>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</si>
  <si>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</si>
  <si>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</si>
  <si>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</si>
  <si>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</si>
  <si>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</si>
  <si>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</si>
  <si>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</si>
  <si>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</si>
  <si>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</si>
  <si>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</si>
  <si>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</si>
  <si>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</si>
  <si>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</si>
  <si>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</si>
  <si>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</si>
  <si>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</si>
  <si>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</si>
  <si>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</si>
  <si>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</si>
  <si>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</si>
  <si>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</si>
  <si>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</si>
  <si>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</si>
  <si>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</si>
  <si>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</si>
  <si>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</si>
  <si>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</si>
  <si>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</si>
  <si>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</si>
  <si>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</si>
  <si>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</si>
  <si>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</si>
  <si>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</si>
  <si>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</si>
  <si>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</si>
  <si>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</si>
  <si>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</si>
  <si>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</si>
  <si>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</si>
  <si>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</si>
  <si>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</si>
  <si>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</si>
  <si>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</si>
  <si>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</si>
  <si>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</si>
  <si>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</si>
  <si>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</si>
  <si>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</si>
  <si>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</si>
  <si>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</si>
  <si>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</si>
  <si>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</si>
  <si>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</si>
  <si>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</si>
  <si>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</si>
  <si>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</si>
  <si>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</si>
  <si>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</si>
  <si>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</si>
  <si>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</si>
  <si>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</si>
  <si>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</si>
  <si>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</si>
  <si>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</si>
  <si>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</si>
  <si>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</si>
  <si>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</si>
  <si>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</si>
  <si>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</si>
  <si>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</si>
  <si>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</si>
  <si>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</si>
  <si>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</si>
  <si>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</si>
  <si>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</si>
  <si>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</si>
  <si>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</si>
  <si>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</si>
  <si>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</si>
  <si>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</si>
  <si>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</si>
  <si>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</si>
  <si>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</si>
  <si>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</si>
  <si>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</si>
  <si>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</si>
  <si>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</si>
  <si>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</si>
  <si>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</si>
  <si>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</si>
  <si>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</si>
  <si>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</si>
  <si>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</si>
  <si>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</si>
  <si>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</si>
  <si>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</si>
  <si>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</si>
  <si>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</si>
  <si>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</si>
  <si>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</si>
  <si>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</si>
  <si>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</si>
  <si>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</si>
  <si>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</si>
  <si>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</si>
  <si>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</si>
  <si>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</si>
  <si>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</si>
  <si>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</si>
  <si>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</si>
  <si>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</si>
  <si>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</si>
  <si>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</si>
  <si>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</si>
  <si>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</si>
  <si>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</si>
  <si>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</si>
  <si>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</si>
  <si>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</si>
  <si>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</si>
  <si>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</si>
  <si>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</si>
  <si>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</si>
  <si>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</si>
  <si>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</si>
  <si>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</si>
  <si>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</si>
  <si>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</si>
  <si>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</si>
  <si>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</si>
  <si>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</si>
  <si>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</si>
  <si>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</si>
  <si>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</si>
  <si>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</si>
  <si>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</si>
  <si>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</si>
  <si>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</si>
  <si>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</si>
  <si>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</si>
  <si>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</si>
  <si>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</si>
  <si>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</si>
  <si>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</si>
  <si>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</si>
  <si>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</si>
  <si>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</si>
  <si>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</si>
  <si>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</si>
  <si>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</si>
  <si>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</si>
  <si>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</si>
  <si>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</si>
  <si>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</si>
  <si>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</si>
  <si>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</si>
  <si>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</si>
  <si>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</si>
  <si>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</si>
  <si>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</si>
  <si>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</si>
  <si>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</si>
  <si>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</si>
  <si>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</si>
  <si>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</si>
  <si>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</si>
  <si>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</si>
  <si>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</si>
  <si>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</si>
  <si>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</si>
  <si>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</si>
  <si>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</si>
  <si>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</si>
  <si>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</si>
  <si>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</si>
  <si>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</si>
  <si>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</si>
  <si>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</si>
  <si>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</si>
  <si>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</si>
  <si>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</si>
  <si>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</si>
  <si>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</si>
  <si>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</si>
  <si>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</si>
  <si>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</si>
  <si>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</si>
  <si>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</si>
  <si>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</si>
  <si>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</si>
  <si>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</si>
  <si>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</si>
  <si>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</si>
  <si>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</si>
  <si>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</si>
  <si>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</si>
  <si>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</si>
  <si>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</si>
  <si>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</si>
  <si>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</si>
  <si>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</si>
  <si>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</si>
  <si>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</si>
  <si>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</si>
  <si>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</si>
  <si>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</si>
  <si>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</si>
  <si>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</si>
  <si>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</si>
  <si>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</si>
  <si>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</si>
  <si>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</si>
  <si>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</si>
  <si>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</si>
  <si>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</si>
  <si>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</si>
  <si>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</si>
  <si>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</si>
  <si>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</si>
  <si>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</si>
  <si>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</si>
  <si>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</si>
  <si>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</si>
  <si>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</si>
  <si>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</si>
  <si>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</si>
  <si>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</si>
  <si>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</si>
  <si>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</si>
  <si>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</si>
  <si>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</si>
  <si>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</si>
  <si>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</si>
  <si>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</si>
  <si>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</si>
  <si>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</si>
  <si>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</si>
  <si>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</si>
  <si>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</si>
  <si>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</si>
  <si>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</si>
  <si>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</si>
  <si>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</si>
  <si>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</si>
  <si>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</si>
  <si>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</si>
  <si>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</si>
  <si>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</si>
  <si>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</si>
  <si>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</si>
  <si>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</si>
  <si>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</si>
  <si>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</si>
  <si>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</si>
  <si>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</si>
  <si>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</si>
  <si>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</si>
  <si>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</si>
  <si>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</si>
  <si>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</si>
  <si>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</si>
  <si>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</si>
  <si>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</si>
  <si>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</si>
  <si>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</si>
  <si>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</si>
  <si>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</si>
  <si>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</si>
  <si>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</si>
  <si>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</si>
  <si>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</si>
  <si>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</si>
  <si>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</si>
  <si>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</si>
  <si>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</si>
  <si>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</si>
  <si>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</si>
  <si>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</si>
  <si>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</si>
  <si>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</si>
  <si>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</si>
  <si>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</si>
  <si>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</si>
  <si>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</si>
  <si>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</si>
  <si>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</si>
  <si>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</si>
  <si>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</si>
  <si>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</si>
  <si>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</si>
  <si>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</si>
  <si>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</si>
  <si>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</si>
  <si>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</si>
  <si>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</si>
  <si>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</si>
  <si>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</si>
  <si>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</si>
  <si>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</si>
  <si>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</si>
  <si>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</si>
  <si>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</si>
  <si>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</si>
  <si>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</si>
  <si>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</si>
  <si>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</si>
  <si>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</si>
  <si>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</si>
  <si>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</si>
  <si>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</si>
  <si>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</si>
  <si>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</si>
  <si>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</si>
  <si>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</si>
  <si>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</si>
  <si>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</si>
  <si>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</si>
  <si>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</si>
  <si>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</si>
  <si>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</si>
  <si>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</si>
  <si>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</si>
  <si>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</si>
  <si>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</si>
  <si>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</si>
  <si>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</si>
  <si>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</si>
  <si>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</si>
  <si>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</si>
  <si>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</si>
  <si>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</si>
  <si>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</si>
  <si>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</si>
  <si>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</si>
  <si>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</si>
  <si>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</si>
  <si>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</si>
  <si>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</si>
  <si>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</si>
  <si>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</si>
  <si>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</si>
  <si>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</si>
  <si>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</si>
  <si>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</si>
  <si>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</si>
  <si>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</si>
  <si>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</si>
  <si>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</si>
  <si>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</si>
  <si>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</si>
  <si>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</si>
  <si>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</si>
  <si>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</si>
  <si>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</si>
  <si>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</si>
  <si>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</si>
  <si>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</si>
  <si>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</si>
  <si>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</si>
  <si>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</si>
  <si>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</si>
  <si>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</si>
  <si>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</si>
  <si>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</si>
  <si>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</si>
  <si>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</si>
  <si>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</si>
  <si>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</si>
  <si>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</si>
  <si>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</si>
  <si>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</si>
  <si>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</si>
  <si>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</si>
  <si>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</si>
  <si>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</si>
  <si>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</si>
  <si>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</si>
  <si>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</si>
  <si>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</si>
  <si>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</si>
  <si>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</si>
  <si>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</si>
  <si>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</si>
  <si>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</si>
  <si>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</si>
  <si>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</si>
  <si>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</si>
  <si>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</si>
  <si>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</si>
  <si>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</si>
  <si>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</si>
  <si>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</si>
  <si>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</si>
  <si>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</si>
  <si>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</si>
  <si>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</si>
  <si>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</si>
  <si>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</si>
  <si>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</si>
  <si>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</si>
  <si>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</si>
  <si>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</si>
  <si>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</si>
  <si>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</si>
  <si>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</si>
  <si>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</si>
  <si>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</si>
  <si>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</si>
  <si>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</si>
  <si>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</si>
  <si>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</si>
  <si>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</si>
  <si>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</si>
  <si>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</si>
  <si>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</si>
  <si>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</si>
  <si>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</si>
  <si>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</si>
  <si>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</si>
  <si>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</si>
  <si>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</si>
  <si>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</si>
  <si>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</si>
  <si>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</si>
  <si>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</si>
  <si>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</si>
  <si>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</si>
  <si>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</si>
  <si>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</si>
  <si>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</si>
  <si>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</si>
  <si>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</si>
  <si>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</si>
  <si>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</si>
  <si>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</si>
  <si>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</si>
  <si>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</si>
  <si>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</si>
  <si>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</si>
  <si>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</si>
  <si>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</si>
  <si>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</si>
  <si>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</si>
  <si>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</si>
  <si>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</si>
  <si>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</si>
  <si>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</si>
  <si>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</si>
  <si>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</si>
  <si>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</si>
  <si>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</si>
  <si>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</si>
  <si>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</si>
  <si>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</si>
  <si>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</si>
  <si>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</si>
  <si>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</si>
  <si>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</si>
  <si>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</si>
  <si>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</si>
  <si>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</si>
  <si>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</si>
  <si>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</si>
  <si>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</si>
  <si>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</si>
  <si>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</si>
  <si>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</si>
  <si>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</si>
  <si>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</si>
  <si>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</si>
  <si>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</si>
  <si>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</si>
  <si>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</si>
  <si>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</si>
  <si>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</si>
  <si>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</si>
  <si>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</si>
  <si>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</si>
  <si>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</si>
  <si>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</si>
  <si>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</si>
  <si>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</si>
  <si>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</si>
  <si>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</si>
  <si>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</si>
  <si>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</si>
  <si>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</si>
  <si>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</si>
  <si>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</si>
  <si>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</si>
  <si>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</si>
  <si>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</si>
  <si>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</si>
  <si>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</si>
  <si>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</si>
  <si>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</si>
  <si>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</si>
  <si>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</si>
  <si>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</si>
  <si>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</si>
  <si>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</si>
  <si>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</si>
  <si>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</si>
  <si>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</si>
  <si>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</si>
  <si>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</si>
  <si>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</si>
  <si>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</si>
  <si>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</si>
  <si>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</si>
  <si>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</si>
  <si>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</si>
  <si>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</si>
  <si>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</si>
  <si>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</si>
  <si>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</si>
  <si>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</si>
  <si>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</si>
  <si>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</si>
  <si>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</si>
  <si>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</si>
  <si>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</si>
  <si>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</si>
  <si>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</si>
  <si>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</si>
  <si>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</si>
  <si>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</si>
  <si>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</si>
  <si>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</si>
  <si>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</si>
  <si>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</si>
  <si>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</si>
  <si>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</si>
  <si>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</si>
  <si>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</si>
  <si>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</si>
  <si>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</si>
  <si>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</si>
  <si>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</si>
  <si>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</si>
  <si>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</si>
  <si>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</si>
  <si>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</si>
  <si>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</si>
  <si>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</si>
  <si>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</si>
  <si>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</si>
  <si>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</si>
  <si>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</si>
  <si>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</si>
  <si>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</si>
  <si>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</si>
  <si>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</si>
  <si>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</si>
  <si>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</si>
  <si>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</si>
  <si>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</si>
  <si>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</si>
  <si>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</si>
  <si>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</si>
  <si>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</si>
  <si>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</si>
  <si>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</si>
  <si>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</si>
  <si>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</si>
  <si>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</si>
  <si>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</si>
  <si>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</si>
  <si>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</si>
  <si>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</si>
  <si>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</si>
  <si>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</si>
  <si>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</si>
  <si>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</si>
  <si>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</si>
  <si>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</si>
  <si>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</si>
  <si>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</si>
  <si>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</si>
  <si>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</si>
  <si>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</si>
  <si>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</si>
  <si>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</si>
  <si>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</si>
  <si>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</si>
  <si>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</si>
  <si>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</si>
  <si>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</si>
  <si>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</si>
  <si>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</si>
  <si>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</si>
  <si>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</si>
  <si>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</si>
  <si>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</si>
  <si>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</si>
  <si>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</si>
  <si>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</si>
  <si>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</si>
  <si>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</si>
  <si>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</si>
  <si>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</si>
  <si>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</si>
  <si>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</si>
  <si>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</si>
  <si>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</si>
  <si>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</si>
  <si>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</si>
  <si>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</si>
  <si>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</si>
  <si>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</si>
  <si>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</si>
  <si>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</si>
  <si>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</si>
  <si>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</si>
  <si>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</si>
  <si>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</si>
  <si>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</si>
  <si>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</si>
  <si>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</si>
  <si>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</si>
  <si>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</si>
  <si>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</si>
  <si>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</si>
  <si>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</si>
  <si>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</si>
  <si>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</si>
  <si>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</si>
  <si>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</si>
  <si>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</si>
  <si>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</si>
  <si>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</si>
  <si>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</si>
  <si>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</si>
  <si>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</si>
  <si>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</si>
  <si>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</si>
  <si>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</si>
  <si>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</si>
  <si>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</si>
  <si>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</si>
  <si>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</si>
  <si>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</si>
  <si>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</si>
  <si>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</si>
  <si>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</si>
  <si>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</si>
  <si>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</si>
  <si>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</si>
  <si>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</si>
  <si>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</si>
  <si>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</si>
  <si>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</si>
  <si>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</si>
  <si>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</si>
  <si>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</si>
  <si>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</si>
  <si>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</si>
  <si>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</si>
  <si>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</si>
  <si>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</si>
  <si>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</si>
  <si>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</si>
  <si>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</si>
  <si>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</si>
  <si>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</si>
  <si>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</si>
  <si>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</si>
  <si>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</si>
  <si>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</si>
  <si>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</si>
  <si>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</si>
  <si>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</si>
  <si>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</si>
  <si>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</si>
  <si>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</si>
  <si>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</si>
  <si>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</si>
  <si>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</si>
  <si>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</si>
  <si>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</si>
  <si>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</si>
  <si>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</si>
  <si>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</si>
  <si>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</si>
  <si>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</si>
  <si>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</si>
  <si>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</si>
  <si>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</si>
  <si>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</si>
  <si>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</si>
  <si>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</si>
  <si>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</si>
  <si>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</si>
  <si>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</si>
  <si>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</si>
  <si>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</si>
  <si>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</si>
  <si>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</si>
  <si>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</si>
  <si>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</si>
  <si>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</si>
  <si>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</si>
  <si>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</si>
  <si>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</si>
  <si>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</si>
  <si>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</si>
  <si>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</si>
  <si>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</si>
  <si>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</si>
  <si>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</si>
  <si>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</si>
  <si>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</si>
  <si>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</si>
  <si>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</si>
  <si>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</si>
  <si>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</si>
  <si>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</si>
  <si>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</si>
  <si>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</si>
  <si>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</si>
  <si>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</si>
  <si>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</si>
  <si>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</si>
  <si>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</si>
  <si>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</si>
  <si>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</si>
  <si>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</si>
  <si>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</si>
  <si>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</si>
  <si>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</si>
  <si>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</si>
  <si>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</si>
  <si>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</si>
  <si>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</si>
  <si>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</si>
  <si>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</si>
  <si>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</si>
  <si>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</si>
  <si>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</si>
  <si>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</si>
  <si>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</si>
  <si>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</si>
  <si>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</si>
  <si>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</si>
  <si>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</si>
  <si>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</si>
  <si>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</si>
  <si>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</si>
  <si>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</si>
  <si>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</si>
  <si>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</si>
  <si>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</si>
  <si>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</si>
  <si>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</si>
  <si>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</si>
  <si>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</si>
  <si>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</si>
  <si>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</si>
  <si>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</si>
  <si>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</si>
  <si>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</si>
  <si>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</si>
  <si>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</si>
  <si>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</si>
  <si>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</si>
  <si>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</si>
  <si>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</si>
  <si>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</si>
  <si>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</si>
  <si>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</si>
  <si>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</si>
  <si>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</si>
  <si>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</si>
  <si>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</si>
  <si>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</si>
  <si>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</si>
  <si>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</si>
  <si>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</si>
  <si>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</si>
  <si>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</si>
  <si>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</si>
  <si>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</si>
  <si>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</si>
  <si>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</si>
  <si>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</si>
  <si>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</si>
  <si>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</si>
  <si>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</si>
  <si>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</si>
  <si>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</si>
  <si>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</si>
  <si>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</si>
  <si>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</si>
  <si>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</si>
  <si>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</si>
  <si>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</si>
  <si>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</si>
  <si>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</si>
  <si>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</si>
  <si>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</si>
  <si>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</si>
  <si>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</si>
  <si>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</si>
  <si>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</si>
  <si>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</si>
  <si>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</si>
  <si>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</si>
  <si>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</si>
  <si>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</si>
  <si>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</si>
  <si>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</si>
  <si>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</si>
  <si>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</si>
  <si>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</si>
  <si>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</si>
  <si>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</si>
  <si>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</si>
  <si>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</si>
  <si>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</si>
  <si>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</si>
  <si>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</si>
  <si>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</si>
  <si>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</si>
  <si>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</si>
  <si>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</si>
  <si>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</si>
  <si>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</si>
  <si>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</si>
  <si>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</si>
  <si>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</si>
  <si>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</si>
  <si>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</si>
  <si>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</si>
  <si>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</si>
  <si>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</si>
  <si>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</si>
  <si>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</si>
  <si>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</si>
  <si>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</si>
  <si>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</si>
  <si>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</si>
  <si>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</si>
  <si>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</si>
  <si>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</si>
  <si>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</si>
  <si>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</si>
  <si>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</si>
  <si>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</si>
  <si>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</si>
  <si>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</si>
  <si>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</si>
  <si>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</si>
  <si>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</si>
  <si>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</si>
  <si>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</si>
  <si>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</si>
  <si>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</si>
  <si>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</si>
  <si>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</si>
  <si>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</si>
  <si>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</si>
  <si>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</si>
  <si>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</si>
  <si>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</si>
  <si>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</si>
  <si>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</si>
  <si>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</si>
  <si>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</si>
  <si>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</si>
  <si>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</si>
  <si>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</si>
  <si>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</si>
  <si>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</si>
  <si>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</si>
  <si>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</si>
  <si>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</si>
  <si>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</si>
  <si>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</si>
  <si>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</si>
  <si>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</si>
  <si>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</si>
  <si>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</si>
  <si>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</si>
  <si>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</si>
  <si>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</si>
  <si>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</si>
  <si>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</si>
  <si>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</si>
  <si>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</si>
  <si>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</si>
  <si>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</si>
  <si>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</si>
  <si>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</si>
  <si>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</si>
  <si>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</si>
  <si>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</si>
  <si>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</si>
  <si>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</si>
  <si>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</si>
  <si>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</si>
  <si>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</si>
  <si>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</si>
  <si>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</si>
  <si>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</si>
  <si>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</si>
  <si>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</si>
  <si>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</si>
  <si>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</si>
  <si>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</si>
  <si>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</si>
  <si>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</si>
  <si>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</si>
  <si>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</si>
  <si>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</si>
  <si>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</si>
  <si>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</si>
  <si>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</si>
  <si>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</si>
  <si>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</si>
  <si>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</si>
  <si>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</si>
  <si>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</si>
  <si>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</si>
  <si>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</si>
  <si>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</si>
  <si>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</si>
  <si>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</si>
  <si>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</si>
  <si>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</si>
  <si>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</si>
  <si>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</si>
  <si>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</si>
  <si>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</si>
  <si>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</si>
  <si>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</si>
  <si>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</si>
  <si>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</si>
  <si>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</si>
  <si>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</si>
  <si>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</si>
  <si>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</si>
  <si>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</si>
  <si>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</si>
  <si>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</si>
  <si>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</si>
  <si>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</si>
  <si>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</si>
  <si>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</si>
  <si>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</si>
  <si>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</si>
  <si>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</si>
  <si>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</si>
  <si>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</si>
  <si>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</si>
  <si>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</si>
  <si>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</si>
  <si>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</si>
  <si>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</si>
  <si>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</si>
  <si>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</si>
  <si>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</si>
  <si>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</si>
  <si>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</si>
  <si>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</si>
  <si>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</si>
  <si>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</si>
  <si>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</si>
  <si>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</si>
  <si>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</si>
  <si>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</si>
  <si>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</si>
  <si>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</si>
  <si>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</si>
  <si>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</si>
  <si>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</si>
  <si>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</si>
  <si>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</si>
  <si>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</si>
  <si>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</si>
  <si>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</si>
  <si>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</si>
  <si>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</si>
  <si>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</si>
  <si>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</si>
  <si>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</si>
  <si>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</si>
  <si>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</si>
  <si>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</si>
  <si>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</si>
  <si>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</si>
  <si>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</si>
  <si>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</si>
  <si>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</si>
  <si>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</si>
  <si>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</si>
  <si>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</si>
  <si>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</si>
  <si>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</si>
  <si>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</si>
  <si>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</si>
  <si>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</si>
  <si>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</si>
  <si>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</si>
  <si>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</si>
  <si>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</si>
  <si>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</si>
  <si>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</si>
  <si>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</si>
  <si>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</si>
  <si>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</si>
  <si>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</si>
  <si>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</si>
  <si>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</si>
  <si>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</si>
  <si>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</si>
  <si>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</si>
  <si>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</si>
  <si>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</si>
  <si>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</si>
  <si>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</si>
  <si>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</si>
  <si>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</si>
  <si>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</si>
  <si>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</si>
  <si>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</si>
  <si>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</si>
  <si>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</si>
  <si>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</si>
  <si>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</si>
  <si>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</si>
  <si>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</si>
  <si>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</si>
  <si>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</si>
  <si>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</si>
  <si>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</si>
  <si>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</si>
  <si>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</si>
  <si>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</si>
  <si>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</si>
  <si>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</si>
  <si>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</si>
  <si>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</si>
  <si>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</si>
  <si>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</si>
  <si>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</si>
  <si>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</si>
  <si>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</si>
  <si>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</si>
  <si>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</si>
  <si>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</si>
  <si>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</si>
  <si>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</si>
  <si>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</si>
  <si>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</si>
  <si>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</si>
  <si>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</si>
  <si>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</si>
  <si>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</si>
  <si>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</si>
  <si>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</si>
  <si>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</si>
  <si>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</si>
  <si>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</si>
  <si>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</si>
  <si>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</si>
  <si>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</si>
  <si>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</si>
  <si>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</si>
  <si>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</si>
  <si>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</si>
  <si>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</si>
  <si>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</si>
  <si>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</si>
  <si>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</si>
  <si>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</si>
  <si>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</si>
  <si>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</si>
  <si>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</si>
  <si>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</si>
  <si>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</si>
  <si>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</si>
  <si>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</si>
  <si>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</si>
  <si>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</si>
  <si>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</si>
  <si>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</si>
  <si>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</si>
  <si>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</si>
  <si>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</si>
  <si>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</si>
  <si>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</si>
  <si>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</si>
  <si>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</si>
  <si>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</si>
  <si>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</si>
  <si>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</si>
  <si>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</si>
  <si>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</si>
  <si>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</si>
  <si>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</si>
  <si>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</si>
  <si>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</si>
  <si>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</si>
  <si>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</si>
  <si>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</si>
  <si>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</si>
  <si>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</si>
  <si>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</si>
  <si>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</si>
  <si>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</si>
  <si>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</si>
  <si>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</si>
  <si>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</si>
  <si>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</si>
  <si>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</si>
  <si>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</si>
  <si>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</si>
  <si>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</si>
  <si>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</si>
  <si>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</si>
  <si>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</si>
  <si>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</si>
  <si>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</si>
  <si>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</si>
  <si>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</si>
  <si>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</si>
  <si>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</si>
  <si>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</si>
  <si>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</si>
  <si>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</si>
  <si>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</si>
  <si>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</si>
  <si>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</si>
  <si>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</si>
  <si>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</si>
  <si>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</si>
  <si>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</si>
  <si>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</si>
  <si>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</si>
  <si>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</si>
  <si>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</si>
  <si>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</si>
  <si>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</si>
  <si>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</si>
  <si>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</si>
  <si>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</si>
  <si>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</si>
  <si>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</si>
  <si>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</si>
  <si>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</si>
  <si>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</si>
  <si>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</si>
  <si>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</si>
  <si>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</si>
  <si>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</si>
  <si>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</si>
  <si>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</si>
  <si>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</si>
  <si>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</si>
  <si>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</si>
  <si>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</si>
  <si>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</si>
  <si>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</si>
  <si>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</si>
  <si>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</si>
  <si>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</si>
  <si>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</si>
  <si>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</si>
  <si>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</si>
  <si>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</si>
  <si>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</si>
  <si>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</si>
  <si>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</si>
  <si>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</si>
  <si>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</si>
  <si>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</si>
  <si>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</si>
  <si>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</si>
  <si>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</si>
  <si>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</si>
  <si>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</si>
  <si>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</si>
  <si>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</si>
  <si>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</si>
  <si>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</si>
  <si>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</si>
  <si>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</si>
  <si>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</si>
  <si>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</si>
  <si>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</si>
  <si>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</si>
  <si>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</si>
  <si>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</si>
  <si>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</si>
  <si>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</si>
  <si>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</si>
  <si>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</si>
  <si>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</si>
  <si>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</si>
  <si>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</si>
  <si>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</si>
  <si>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</si>
  <si>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</si>
  <si>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</si>
  <si>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</si>
  <si>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</si>
  <si>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</si>
  <si>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</si>
  <si>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</si>
  <si>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</si>
  <si>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</si>
  <si>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</si>
  <si>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</si>
  <si>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</si>
  <si>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</si>
  <si>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</si>
  <si>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</si>
  <si>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</si>
  <si>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</si>
  <si>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</si>
  <si>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</si>
  <si>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</si>
  <si>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</si>
  <si>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</si>
  <si>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</si>
  <si>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</si>
  <si>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</si>
  <si>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</si>
  <si>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</si>
  <si>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</si>
  <si>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</si>
  <si>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</si>
  <si>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</si>
  <si>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</si>
  <si>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</si>
  <si>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</si>
  <si>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</si>
  <si>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</si>
  <si>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</si>
  <si>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</si>
  <si>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</si>
  <si>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</si>
  <si>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</si>
  <si>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</si>
  <si>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</si>
  <si>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</si>
  <si>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</si>
  <si>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</si>
  <si>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</si>
  <si>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</si>
  <si>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</si>
  <si>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</si>
  <si>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</si>
  <si>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</si>
  <si>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</si>
  <si>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</si>
  <si>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</si>
  <si>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</si>
  <si>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</si>
  <si>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</si>
  <si>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</si>
  <si>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</si>
  <si>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</si>
  <si>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</si>
  <si>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</si>
  <si>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</si>
  <si>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</si>
  <si>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</si>
  <si>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</si>
  <si>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</si>
  <si>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</si>
  <si>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</si>
  <si>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</si>
  <si>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</si>
  <si>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</si>
  <si>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</si>
  <si>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</si>
  <si>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</si>
  <si>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</si>
  <si>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</si>
  <si>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</si>
  <si>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</si>
  <si>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</si>
  <si>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</si>
  <si>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</si>
  <si>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</si>
  <si>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</si>
  <si>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</si>
  <si>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</si>
  <si>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</si>
  <si>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</si>
  <si>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</si>
  <si>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</si>
  <si>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</si>
  <si>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</si>
  <si>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</si>
  <si>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</si>
  <si>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</si>
  <si>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</si>
  <si>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</si>
  <si>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</si>
  <si>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</si>
  <si>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</si>
  <si>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</si>
  <si>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</si>
  <si>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</si>
  <si>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</si>
  <si>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</si>
  <si>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</si>
  <si>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</si>
  <si>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</si>
  <si>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</si>
  <si>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</si>
  <si>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</si>
  <si>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</si>
  <si>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</si>
  <si>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</si>
  <si>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</si>
  <si>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</si>
  <si>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</si>
  <si>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</si>
  <si>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</si>
  <si>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</si>
  <si>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</si>
  <si>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</si>
  <si>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</si>
  <si>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</si>
  <si>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</si>
  <si>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</si>
  <si>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</si>
  <si>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</si>
  <si>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</si>
  <si>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</si>
  <si>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</si>
  <si>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</si>
  <si>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</si>
  <si>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</si>
  <si>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</si>
  <si>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</si>
  <si>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</si>
  <si>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</si>
  <si>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</si>
  <si>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</si>
  <si>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</si>
  <si>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</si>
  <si>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</si>
  <si>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</si>
  <si>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</si>
  <si>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</si>
  <si>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</si>
  <si>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</si>
  <si>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</si>
  <si>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</si>
  <si>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</si>
  <si>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</si>
  <si>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</si>
  <si>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</si>
  <si>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</si>
  <si>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</si>
  <si>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</si>
  <si>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</si>
  <si>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</si>
  <si>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</si>
  <si>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</si>
  <si>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</si>
  <si>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</si>
  <si>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</si>
  <si>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</si>
  <si>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</si>
  <si>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</si>
  <si>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</si>
  <si>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</si>
  <si>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</si>
  <si>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</si>
  <si>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</si>
  <si>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</si>
  <si>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</si>
  <si>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</si>
  <si>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</si>
  <si>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</si>
  <si>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</si>
  <si>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</si>
  <si>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</si>
  <si>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</si>
  <si>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</si>
  <si>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</si>
  <si>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</si>
  <si>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</si>
  <si>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</si>
  <si>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</si>
  <si>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</si>
  <si>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</si>
  <si>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</si>
  <si>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</si>
  <si>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</si>
  <si>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</si>
  <si>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</si>
  <si>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</si>
  <si>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</si>
  <si>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</si>
  <si>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</si>
  <si>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</si>
  <si>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</si>
  <si>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</si>
  <si>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</si>
  <si>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</si>
  <si>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</si>
  <si>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</si>
  <si>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</si>
  <si>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</si>
  <si>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</si>
  <si>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</si>
  <si>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</si>
  <si>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</si>
  <si>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</si>
  <si>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</si>
  <si>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</si>
  <si>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</si>
  <si>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</si>
  <si>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</si>
  <si>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</si>
  <si>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</si>
  <si>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</si>
  <si>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</si>
  <si>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</si>
  <si>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</si>
  <si>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</si>
  <si>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</si>
  <si>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</si>
  <si>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</si>
  <si>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</si>
  <si>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</si>
  <si>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</si>
  <si>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</si>
  <si>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</si>
  <si>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</si>
  <si>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</si>
  <si>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</si>
  <si>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</si>
  <si>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</si>
  <si>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</si>
  <si>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</si>
  <si>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</si>
  <si>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</si>
  <si>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</si>
  <si>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</si>
  <si>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</si>
  <si>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</si>
  <si>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</si>
  <si>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</si>
  <si>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</si>
  <si>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</si>
  <si>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</si>
  <si>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</si>
  <si>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</si>
  <si>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</si>
  <si>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</si>
  <si>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</si>
  <si>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</si>
  <si>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</si>
  <si>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</si>
  <si>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</si>
  <si>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</si>
  <si>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</si>
  <si>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</si>
  <si>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</si>
  <si>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</si>
  <si>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</si>
  <si>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</si>
  <si>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</si>
  <si>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</si>
  <si>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</si>
  <si>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</si>
  <si>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</si>
  <si>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</si>
  <si>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</si>
  <si>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</si>
  <si>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</si>
  <si>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</si>
  <si>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</si>
  <si>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</si>
  <si>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</si>
  <si>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</si>
  <si>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</si>
  <si>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</si>
  <si>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</si>
  <si>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</si>
  <si>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</si>
  <si>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</si>
  <si>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</si>
  <si>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</si>
  <si>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</si>
  <si>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</si>
  <si>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</si>
  <si>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</si>
  <si>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</si>
  <si>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</si>
  <si>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</si>
  <si>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</si>
  <si>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</si>
  <si>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</si>
  <si>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</si>
  <si>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</si>
  <si>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</si>
  <si>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</si>
  <si>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</si>
  <si>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</si>
  <si>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</si>
  <si>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</si>
  <si>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</si>
  <si>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</si>
  <si>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</si>
  <si>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</si>
  <si>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</si>
  <si>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</si>
  <si>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</si>
  <si>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</si>
  <si>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</si>
  <si>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</si>
  <si>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</si>
  <si>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</si>
  <si>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</si>
  <si>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</si>
  <si>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</si>
  <si>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</si>
  <si>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</si>
  <si>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</si>
  <si>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</si>
  <si>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</si>
  <si>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</si>
  <si>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</si>
  <si>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</si>
  <si>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</si>
  <si>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</si>
  <si>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</si>
  <si>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</si>
  <si>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</si>
  <si>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</si>
  <si>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</si>
  <si>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</si>
  <si>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</si>
  <si>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</si>
  <si>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</si>
  <si>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</si>
  <si>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</si>
  <si>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</si>
  <si>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</si>
  <si>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</si>
  <si>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</si>
  <si>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</si>
  <si>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</si>
  <si>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</si>
  <si>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</si>
  <si>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</si>
  <si>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</si>
  <si>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</si>
  <si>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</si>
  <si>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</si>
  <si>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</si>
  <si>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</si>
  <si>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</si>
  <si>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</si>
  <si>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</si>
  <si>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</si>
  <si>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</si>
  <si>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</si>
  <si>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</si>
  <si>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</si>
  <si>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</si>
  <si>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</si>
  <si>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</si>
  <si>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</si>
  <si>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</si>
  <si>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</si>
  <si>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</si>
  <si>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</si>
  <si>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</si>
  <si>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</si>
  <si>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</si>
  <si>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</si>
  <si>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</si>
  <si>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</si>
  <si>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</si>
  <si>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</si>
  <si>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</si>
  <si>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</si>
  <si>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</si>
  <si>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</si>
  <si>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</si>
  <si>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</si>
  <si>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</si>
  <si>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</si>
  <si>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</si>
  <si>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</si>
  <si>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</si>
  <si>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</si>
  <si>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</si>
  <si>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</si>
  <si>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</si>
  <si>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</si>
  <si>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</si>
  <si>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</si>
  <si>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</si>
  <si>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</si>
  <si>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</si>
  <si>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</si>
  <si>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</si>
  <si>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</si>
  <si>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</si>
  <si>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</si>
  <si>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</si>
  <si>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</si>
  <si>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</si>
  <si>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</si>
  <si>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</si>
  <si>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</si>
  <si>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</si>
  <si>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</si>
  <si>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</si>
  <si>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</si>
  <si>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</si>
  <si>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</si>
  <si>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</si>
  <si>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</si>
  <si>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</si>
  <si>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</si>
  <si>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</si>
  <si>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</si>
  <si>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</si>
  <si>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</si>
  <si>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</si>
  <si>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</si>
  <si>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</si>
  <si>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</si>
  <si>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</si>
  <si>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</si>
  <si>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</si>
  <si>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</si>
  <si>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</si>
  <si>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</si>
  <si>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</si>
  <si>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</si>
  <si>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</si>
  <si>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</si>
  <si>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</si>
  <si>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</si>
  <si>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</si>
  <si>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</si>
  <si>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</si>
  <si>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</si>
  <si>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</si>
  <si>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</si>
  <si>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</si>
  <si>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</si>
  <si>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</si>
  <si>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</si>
  <si>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</si>
  <si>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</si>
  <si>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</si>
  <si>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</si>
  <si>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</si>
  <si>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</si>
  <si>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</si>
  <si>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</si>
  <si>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</si>
  <si>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</si>
  <si>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</si>
  <si>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</si>
  <si>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</si>
  <si>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</si>
  <si>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</si>
  <si>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</si>
  <si>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</si>
  <si>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</si>
  <si>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</si>
  <si>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</si>
  <si>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</si>
  <si>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</si>
  <si>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</si>
  <si>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</si>
  <si>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</si>
  <si>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</si>
  <si>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</si>
  <si>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</si>
  <si>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</si>
  <si>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</si>
  <si>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</si>
  <si>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</si>
  <si>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</si>
  <si>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</si>
  <si>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</si>
  <si>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</si>
  <si>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</si>
  <si>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</si>
  <si>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</si>
  <si>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</si>
  <si>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</si>
  <si>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</si>
  <si>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</si>
  <si>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</si>
  <si>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</si>
  <si>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</si>
  <si>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</si>
  <si>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</si>
  <si>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</si>
  <si>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</si>
  <si>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</si>
  <si>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</si>
  <si>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</si>
  <si>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</si>
  <si>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</si>
  <si>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</si>
  <si>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</si>
  <si>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</si>
  <si>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</si>
  <si>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</si>
  <si>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</si>
  <si>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</si>
  <si>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</si>
  <si>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</si>
  <si>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</si>
  <si>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</si>
  <si>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</si>
  <si>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</si>
  <si>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</si>
  <si>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</si>
  <si>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</si>
  <si>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</si>
  <si>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</si>
  <si>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</si>
  <si>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</si>
  <si>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</si>
  <si>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</si>
  <si>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</si>
  <si>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</si>
  <si>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</si>
  <si>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</si>
  <si>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</si>
  <si>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</si>
  <si>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</si>
  <si>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</si>
  <si>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</si>
  <si>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</si>
  <si>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</si>
  <si>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</si>
  <si>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</si>
  <si>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</si>
  <si>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</si>
  <si>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</si>
  <si>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</si>
  <si>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</si>
  <si>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</si>
  <si>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</si>
  <si>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</si>
  <si>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</si>
  <si>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</si>
  <si>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</si>
  <si>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</si>
  <si>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</si>
  <si>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</si>
  <si>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</si>
  <si>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</si>
  <si>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</si>
  <si>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</si>
  <si>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</si>
  <si>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</si>
  <si>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</si>
  <si>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</si>
  <si>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</si>
  <si>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</si>
  <si>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</si>
  <si>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</si>
  <si>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</si>
  <si>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</si>
  <si>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</si>
  <si>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</si>
  <si>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</si>
  <si>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</si>
  <si>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</si>
  <si>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</si>
  <si>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</si>
  <si>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</si>
  <si>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</si>
  <si>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</si>
  <si>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</si>
  <si>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</si>
  <si>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</si>
  <si>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</si>
  <si>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</si>
  <si>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</si>
  <si>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</si>
  <si>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</si>
  <si>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</si>
  <si>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</si>
  <si>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</si>
  <si>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</si>
  <si>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</si>
  <si>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</si>
  <si>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</si>
  <si>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</si>
  <si>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</si>
  <si>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</si>
  <si>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</si>
  <si>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</si>
  <si>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</si>
  <si>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</si>
  <si>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</si>
  <si>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</si>
  <si>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</si>
  <si>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</si>
  <si>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</si>
  <si>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</si>
  <si>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</si>
  <si>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</si>
  <si>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</si>
  <si>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</si>
  <si>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</si>
  <si>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</si>
  <si>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</si>
  <si>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</si>
  <si>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</si>
  <si>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</si>
  <si>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</si>
  <si>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</si>
  <si>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</si>
  <si>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</si>
  <si>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</si>
  <si>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</si>
  <si>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</si>
  <si>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</si>
  <si>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</si>
  <si>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</si>
  <si>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</si>
  <si>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</si>
  <si>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</si>
  <si>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</si>
  <si>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</si>
  <si>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</si>
  <si>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</si>
  <si>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</si>
  <si>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</si>
  <si>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</si>
  <si>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</si>
  <si>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</si>
  <si>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</si>
  <si>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</si>
  <si>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</si>
  <si>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</si>
  <si>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</si>
  <si>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</si>
  <si>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</si>
  <si>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</si>
  <si>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</si>
  <si>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</si>
  <si>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</si>
  <si>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</si>
  <si>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</si>
  <si>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</si>
  <si>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</si>
  <si>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</si>
  <si>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</si>
  <si>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</si>
  <si>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</si>
  <si>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</si>
  <si>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</si>
  <si>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</si>
  <si>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</si>
  <si>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</si>
  <si>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</si>
  <si>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</si>
  <si>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</si>
  <si>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</si>
  <si>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</si>
  <si>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</si>
  <si>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</si>
  <si>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</si>
  <si>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</si>
  <si>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</si>
  <si>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</si>
  <si>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</si>
  <si>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</si>
  <si>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</si>
  <si>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</si>
  <si>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</si>
  <si>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</si>
  <si>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</si>
  <si>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</si>
  <si>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</si>
  <si>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</si>
  <si>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</si>
  <si>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</si>
  <si>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</si>
  <si>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</si>
  <si>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</si>
  <si>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</si>
  <si>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</si>
  <si>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</si>
  <si>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</si>
  <si>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</si>
  <si>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</si>
  <si>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</si>
  <si>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</si>
  <si>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</si>
  <si>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</si>
  <si>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</si>
  <si>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</si>
  <si>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</si>
  <si>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</si>
  <si>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</si>
  <si>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</si>
  <si>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</si>
  <si>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</si>
  <si>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</si>
  <si>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</si>
  <si>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</si>
  <si>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</si>
  <si>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</si>
  <si>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</si>
  <si>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</si>
  <si>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</si>
  <si>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</si>
  <si>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</si>
  <si>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</si>
  <si>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</si>
  <si>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</si>
  <si>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</si>
  <si>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</si>
  <si>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</si>
  <si>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</si>
  <si>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</si>
  <si>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</si>
  <si>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</si>
  <si>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</si>
  <si>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</si>
  <si>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</si>
  <si>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</si>
  <si>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</si>
  <si>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</si>
  <si>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</si>
  <si>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</si>
  <si>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</si>
  <si>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</si>
  <si>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</si>
  <si>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</si>
  <si>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</si>
  <si>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</si>
  <si>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</si>
  <si>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</si>
  <si>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</si>
  <si>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</si>
  <si>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</si>
  <si>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</si>
  <si>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</si>
  <si>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</si>
  <si>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</si>
  <si>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</si>
  <si>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</si>
  <si>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</si>
  <si>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</si>
  <si>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</si>
  <si>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</si>
  <si>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</si>
  <si>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</si>
  <si>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</si>
  <si>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</si>
  <si>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</si>
  <si>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</si>
  <si>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</si>
  <si>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</si>
  <si>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</si>
  <si>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</si>
  <si>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</si>
  <si>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</si>
  <si>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</si>
  <si>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</si>
  <si>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</si>
  <si>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</si>
  <si>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</si>
  <si>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</si>
  <si>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</si>
  <si>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</si>
  <si>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</si>
  <si>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</si>
  <si>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</si>
  <si>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</si>
  <si>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</si>
  <si>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</si>
  <si>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</si>
  <si>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</si>
  <si>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</si>
  <si>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</si>
  <si>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</si>
  <si>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</si>
  <si>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</si>
  <si>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</si>
  <si>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</si>
  <si>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</si>
  <si>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</si>
  <si>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</si>
  <si>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</si>
  <si>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</si>
  <si>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</si>
  <si>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</si>
  <si>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</si>
  <si>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</si>
  <si>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</si>
  <si>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</si>
  <si>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</si>
  <si>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</si>
  <si>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</si>
  <si>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</si>
  <si>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</si>
  <si>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</si>
  <si>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</si>
  <si>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</si>
  <si>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</si>
  <si>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</si>
  <si>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</si>
  <si>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</si>
  <si>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</si>
  <si>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</si>
  <si>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</si>
  <si>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</si>
  <si>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</si>
  <si>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</si>
  <si>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</si>
  <si>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</si>
  <si>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</si>
  <si>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</si>
  <si>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</si>
  <si>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</si>
  <si>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</si>
  <si>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</si>
  <si>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</si>
  <si>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</si>
  <si>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</si>
  <si>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</si>
  <si>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</si>
  <si>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</si>
  <si>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</si>
  <si>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</si>
  <si>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</si>
  <si>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</si>
  <si>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</si>
  <si>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</si>
  <si>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</si>
  <si>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</si>
  <si>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</si>
  <si>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</si>
  <si>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</si>
  <si>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</si>
  <si>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</si>
  <si>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</si>
  <si>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</si>
  <si>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</si>
  <si>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</si>
  <si>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</si>
  <si>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</si>
  <si>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</si>
  <si>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</si>
  <si>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</si>
  <si>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</si>
  <si>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</si>
  <si>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</si>
  <si>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</si>
  <si>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</si>
  <si>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</si>
  <si>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</si>
  <si>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</si>
  <si>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</si>
  <si>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</si>
  <si>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</si>
  <si>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</si>
  <si>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</si>
  <si>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</si>
  <si>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</si>
  <si>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</si>
  <si>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</si>
  <si>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</si>
  <si>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</si>
  <si>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</si>
  <si>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</si>
  <si>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</si>
  <si>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</si>
  <si>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</si>
  <si>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</si>
  <si>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</si>
  <si>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</si>
  <si>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</si>
  <si>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</si>
  <si>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</si>
  <si>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</si>
  <si>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</si>
  <si>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</si>
  <si>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</si>
  <si>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</si>
  <si>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</si>
  <si>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</si>
  <si>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</si>
  <si>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</si>
  <si>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</si>
  <si>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</si>
  <si>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</si>
  <si>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</si>
  <si>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</si>
  <si>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</si>
  <si>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</si>
  <si>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</si>
  <si>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</si>
  <si>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</si>
  <si>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</si>
  <si>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</si>
  <si>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</si>
  <si>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</si>
  <si>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</si>
  <si>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</si>
  <si>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</si>
  <si>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</si>
  <si>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</si>
  <si>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</si>
  <si>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</si>
  <si>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</si>
  <si>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</si>
  <si>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</si>
  <si>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</si>
  <si>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</si>
  <si>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</si>
  <si>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</si>
  <si>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</si>
  <si>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</si>
  <si>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</si>
  <si>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</si>
  <si>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</si>
  <si>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</si>
  <si>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</si>
  <si>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</si>
  <si>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</si>
  <si>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</si>
  <si>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</si>
  <si>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</si>
  <si>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</si>
  <si>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</si>
  <si>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</si>
  <si>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</si>
  <si>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</si>
  <si>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</si>
  <si>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</si>
  <si>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</si>
  <si>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</si>
  <si>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</si>
  <si>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</si>
  <si>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</si>
  <si>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</si>
  <si>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</si>
  <si>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</si>
  <si>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</si>
  <si>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</si>
  <si>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</si>
  <si>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</si>
  <si>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</si>
  <si>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</si>
  <si>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</si>
  <si>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</si>
  <si>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</si>
  <si>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</si>
  <si>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</si>
  <si>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</si>
  <si>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</si>
  <si>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</si>
  <si>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</si>
  <si>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</si>
  <si>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</si>
  <si>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</si>
  <si>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</si>
  <si>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</si>
  <si>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</si>
  <si>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</si>
  <si>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</si>
  <si>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</si>
  <si>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</si>
  <si>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</si>
  <si>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</si>
  <si>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</si>
  <si>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</si>
  <si>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</si>
  <si>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</si>
  <si>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</si>
  <si>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</si>
  <si>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</si>
  <si>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</si>
  <si>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</si>
  <si>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</si>
  <si>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</si>
  <si>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</si>
  <si>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</si>
  <si>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</si>
  <si>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</si>
  <si>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</si>
  <si>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</si>
  <si>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</si>
  <si>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</si>
  <si>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</si>
  <si>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</si>
  <si>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</si>
  <si>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</si>
  <si>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</si>
  <si>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</si>
  <si>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</si>
  <si>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</si>
  <si>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</si>
  <si>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</si>
  <si>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</si>
  <si>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</si>
  <si>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</si>
  <si>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</si>
  <si>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</si>
  <si>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</si>
  <si>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</si>
  <si>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</si>
  <si>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</si>
  <si>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</si>
  <si>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</si>
  <si>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</si>
  <si>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</si>
  <si>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</si>
  <si>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</si>
  <si>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</si>
  <si>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</si>
  <si>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</si>
  <si>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</si>
  <si>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</si>
  <si>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</si>
  <si>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</si>
  <si>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</si>
  <si>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</si>
  <si>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</si>
  <si>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</si>
  <si>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</si>
  <si>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</si>
  <si>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</si>
  <si>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</si>
  <si>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</si>
  <si>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</si>
  <si>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</si>
  <si>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</si>
  <si>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</si>
  <si>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</si>
  <si>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</si>
  <si>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</si>
  <si>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</si>
  <si>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</si>
  <si>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</si>
  <si>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</si>
  <si>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</si>
  <si>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</si>
  <si>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</si>
  <si>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</si>
  <si>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</si>
  <si>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</si>
  <si>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</si>
  <si>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</si>
  <si>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</si>
  <si>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</si>
  <si>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</si>
  <si>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</si>
  <si>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</si>
  <si>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</si>
  <si>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</si>
  <si>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</si>
  <si>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</si>
  <si>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</si>
  <si>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</si>
  <si>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</si>
  <si>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</si>
  <si>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</si>
  <si>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</si>
  <si>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</si>
  <si>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</si>
  <si>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</si>
  <si>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</si>
  <si>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</si>
  <si>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</si>
  <si>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</si>
  <si>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</si>
  <si>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</si>
  <si>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</si>
  <si>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</si>
  <si>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</si>
  <si>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</si>
  <si>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</si>
  <si>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</si>
  <si>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</si>
  <si>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</si>
  <si>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</si>
  <si>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</si>
  <si>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</si>
  <si>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</si>
  <si>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</si>
  <si>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</si>
  <si>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</si>
  <si>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</si>
  <si>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</si>
  <si>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</si>
  <si>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</si>
  <si>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</si>
  <si>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</si>
  <si>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</si>
  <si>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</si>
  <si>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</si>
  <si>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</si>
  <si>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</si>
  <si>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</si>
  <si>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</si>
  <si>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</si>
  <si>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</si>
  <si>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</si>
  <si>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</si>
  <si>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</si>
  <si>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</si>
  <si>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</si>
  <si>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</si>
  <si>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</si>
  <si>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</si>
  <si>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</si>
  <si>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</si>
  <si>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</si>
  <si>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</si>
  <si>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</si>
  <si>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</si>
  <si>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</si>
  <si>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</si>
  <si>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</si>
  <si>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</si>
  <si>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</si>
  <si>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</si>
  <si>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</si>
  <si>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</si>
  <si>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</si>
  <si>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</si>
  <si>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</si>
  <si>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</si>
  <si>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</si>
  <si>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</si>
  <si>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</si>
  <si>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</si>
  <si>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</si>
  <si>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</si>
  <si>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</si>
  <si>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</si>
  <si>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</si>
  <si>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</si>
  <si>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</si>
  <si>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</si>
  <si>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</si>
  <si>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</si>
  <si>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</si>
  <si>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</si>
  <si>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</si>
  <si>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</si>
  <si>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</si>
  <si>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</si>
  <si>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</si>
  <si>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</si>
  <si>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</si>
  <si>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</si>
  <si>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</si>
  <si>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</si>
  <si>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</si>
  <si>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</si>
  <si>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</si>
  <si>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</si>
  <si>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</si>
  <si>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</si>
  <si>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</si>
  <si>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</si>
  <si>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</si>
  <si>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</si>
  <si>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</si>
  <si>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</si>
  <si>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</si>
  <si>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</si>
  <si>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</si>
  <si>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</si>
  <si>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</si>
  <si>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</si>
  <si>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</si>
  <si>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</si>
  <si>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</si>
  <si>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</si>
  <si>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</si>
  <si>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</si>
  <si>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</si>
  <si>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</si>
  <si>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</si>
  <si>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</si>
  <si>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</si>
  <si>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</si>
  <si>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</si>
  <si>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</si>
  <si>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</si>
  <si>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</si>
  <si>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</si>
  <si>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</si>
  <si>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</si>
  <si>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</si>
  <si>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</si>
  <si>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</si>
  <si>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</si>
  <si>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</si>
  <si>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</si>
  <si>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</si>
  <si>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</si>
  <si>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</si>
  <si>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</si>
  <si>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</si>
  <si>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</si>
  <si>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</si>
  <si>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</si>
  <si>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</si>
  <si>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</si>
  <si>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</si>
  <si>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</si>
  <si>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</si>
  <si>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</si>
  <si>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</si>
  <si>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</si>
  <si>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</si>
  <si>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</si>
  <si>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</si>
  <si>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</si>
  <si>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</si>
  <si>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</si>
  <si>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</si>
  <si>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</si>
  <si>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</si>
  <si>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</si>
  <si>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</si>
  <si>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</si>
  <si>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</si>
  <si>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</si>
  <si>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</si>
  <si>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</si>
  <si>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</si>
  <si>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</si>
  <si>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</si>
  <si>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</si>
  <si>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</si>
  <si>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</si>
  <si>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</si>
  <si>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</si>
  <si>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</si>
  <si>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</si>
  <si>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</si>
  <si>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</si>
  <si>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</si>
  <si>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</si>
  <si>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</si>
  <si>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</si>
  <si>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</si>
  <si>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</si>
  <si>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</si>
  <si>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</si>
  <si>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</si>
  <si>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</si>
  <si>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</si>
  <si>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</si>
  <si>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</si>
  <si>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</si>
  <si>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</si>
  <si>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</si>
  <si>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</si>
  <si>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</si>
  <si>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</si>
  <si>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</si>
  <si>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</si>
  <si>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</si>
  <si>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</si>
  <si>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</si>
  <si>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</si>
  <si>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</si>
  <si>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</si>
  <si>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</si>
  <si>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</si>
  <si>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</si>
  <si>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</si>
  <si>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</si>
  <si>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</si>
  <si>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</si>
  <si>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</si>
  <si>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</si>
  <si>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</si>
  <si>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</si>
  <si>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</si>
  <si>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</si>
  <si>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</si>
  <si>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</si>
  <si>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</si>
  <si>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</si>
  <si>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</si>
  <si>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</si>
  <si>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</si>
  <si>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</si>
  <si>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</si>
  <si>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</si>
  <si>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</si>
  <si>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</si>
  <si>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</si>
  <si>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</si>
  <si>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</si>
  <si>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</si>
  <si>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</si>
  <si>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</si>
  <si>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</si>
  <si>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</si>
  <si>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</si>
  <si>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</si>
  <si>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</si>
  <si>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</si>
  <si>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</si>
  <si>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</si>
  <si>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</si>
  <si>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</si>
  <si>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</si>
  <si>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</si>
  <si>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</si>
  <si>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</si>
  <si>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</si>
  <si>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</si>
  <si>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</si>
  <si>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</si>
  <si>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</si>
  <si>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</si>
  <si>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</si>
  <si>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</si>
  <si>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</si>
  <si>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</si>
  <si>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</si>
  <si>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</si>
  <si>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</si>
  <si>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</si>
  <si>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</si>
  <si>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</si>
  <si>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</si>
  <si>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</si>
  <si>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</si>
  <si>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</si>
  <si>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</si>
  <si>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</si>
  <si>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</si>
  <si>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</si>
  <si>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</si>
  <si>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</si>
  <si>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</si>
  <si>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</si>
  <si>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</si>
  <si>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</si>
  <si>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</si>
  <si>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</si>
  <si>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</si>
  <si>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</si>
  <si>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</si>
  <si>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</si>
  <si>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</si>
  <si>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</si>
  <si>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</si>
  <si>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</si>
  <si>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</si>
  <si>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</si>
  <si>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</si>
  <si>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</si>
  <si>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</si>
  <si>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</si>
  <si>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</si>
  <si>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</si>
  <si>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</si>
  <si>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</si>
  <si>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</si>
  <si>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</si>
  <si>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</si>
  <si>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</si>
  <si>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</si>
  <si>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</si>
  <si>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</si>
  <si>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</si>
  <si>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</si>
  <si>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</si>
  <si>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</si>
  <si>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</si>
  <si>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</si>
  <si>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</si>
  <si>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</si>
  <si>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</si>
  <si>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</si>
  <si>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</si>
  <si>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</si>
  <si>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</si>
  <si>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</si>
  <si>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</si>
  <si>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</si>
  <si>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</si>
  <si>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</si>
  <si>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</si>
  <si>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</si>
  <si>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</si>
  <si>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</si>
  <si>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</si>
  <si>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</si>
  <si>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</si>
  <si>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</si>
  <si>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</si>
  <si>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</si>
  <si>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</si>
  <si>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</si>
  <si>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</si>
  <si>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</si>
  <si>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</si>
  <si>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</si>
  <si>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</si>
  <si>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</si>
  <si>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</si>
  <si>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</si>
  <si>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</si>
  <si>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</si>
  <si>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</si>
  <si>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</si>
  <si>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</si>
  <si>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</si>
  <si>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</si>
  <si>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</si>
  <si>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</si>
  <si>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</si>
  <si>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</si>
  <si>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</si>
  <si>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</si>
  <si>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</si>
  <si>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</si>
  <si>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</si>
  <si>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</si>
  <si>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</si>
  <si>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</si>
  <si>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</si>
  <si>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</si>
  <si>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</si>
  <si>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</si>
  <si>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</si>
  <si>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</si>
  <si>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</si>
  <si>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</si>
  <si>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</si>
  <si>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</si>
  <si>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</si>
  <si>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</si>
  <si>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</si>
  <si>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</si>
  <si>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</si>
  <si>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</si>
  <si>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</si>
  <si>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</si>
  <si>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</si>
  <si>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</si>
  <si>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</si>
  <si>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</si>
  <si>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</si>
  <si>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</si>
  <si>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</si>
  <si>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</si>
  <si>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</si>
  <si>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</si>
  <si>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</si>
  <si>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</si>
  <si>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</si>
  <si>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</si>
  <si>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</si>
  <si>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</si>
  <si>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</si>
  <si>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</si>
  <si>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</si>
  <si>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</si>
  <si>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</si>
  <si>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</si>
  <si>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</si>
  <si>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</si>
  <si>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</si>
  <si>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</si>
  <si>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</si>
  <si>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</si>
  <si>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</si>
  <si>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</si>
  <si>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</si>
  <si>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</si>
  <si>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</si>
  <si>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</si>
  <si>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</si>
  <si>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</si>
  <si>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</si>
  <si>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</si>
  <si>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</si>
  <si>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</si>
  <si>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</si>
  <si>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</si>
  <si>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</si>
  <si>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</si>
  <si>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</si>
  <si>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</si>
  <si>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</si>
  <si>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</si>
  <si>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</si>
  <si>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</si>
  <si>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</si>
  <si>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</si>
  <si>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</si>
  <si>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</si>
  <si>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</si>
  <si>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</si>
  <si>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</si>
  <si>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</si>
  <si>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</si>
  <si>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</si>
  <si>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</si>
  <si>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</si>
  <si>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</si>
  <si>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</si>
  <si>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</si>
  <si>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</si>
  <si>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</si>
  <si>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</si>
  <si>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</si>
  <si>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</si>
  <si>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</si>
  <si>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</si>
  <si>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</si>
  <si>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</si>
  <si>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</si>
  <si>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</si>
  <si>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</si>
  <si>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</si>
  <si>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</si>
  <si>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</si>
  <si>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</si>
  <si>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</si>
  <si>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</si>
  <si>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</si>
  <si>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</si>
  <si>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</si>
  <si>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</si>
  <si>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</si>
  <si>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</si>
  <si>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</si>
  <si>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</si>
  <si>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</si>
  <si>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</si>
  <si>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</si>
  <si>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</si>
  <si>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</si>
  <si>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</si>
  <si>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</si>
  <si>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</si>
  <si>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</si>
  <si>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</si>
  <si>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</si>
  <si>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</si>
  <si>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</si>
  <si>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</si>
  <si>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</si>
  <si>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</si>
  <si>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</si>
  <si>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</si>
  <si>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</si>
  <si>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</si>
  <si>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</si>
  <si>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</si>
  <si>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</si>
  <si>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</si>
  <si>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</si>
  <si>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</si>
  <si>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</si>
  <si>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</si>
  <si>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</si>
  <si>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</si>
  <si>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</si>
  <si>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</si>
  <si>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</si>
  <si>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</si>
  <si>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</si>
  <si>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</si>
  <si>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</si>
  <si>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</si>
  <si>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</si>
  <si>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</si>
  <si>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</si>
  <si>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</si>
  <si>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</si>
  <si>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</si>
  <si>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</si>
  <si>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</si>
  <si>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</si>
  <si>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</si>
  <si>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</si>
  <si>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</si>
  <si>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</si>
  <si>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</si>
  <si>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</si>
  <si>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</si>
  <si>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</si>
  <si>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</si>
  <si>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</si>
  <si>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</si>
  <si>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</si>
  <si>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</si>
  <si>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</si>
  <si>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</si>
  <si>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</si>
  <si>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</si>
  <si>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</si>
  <si>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</si>
  <si>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</si>
  <si>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</si>
  <si>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</si>
  <si>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</si>
  <si>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</si>
  <si>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</si>
  <si>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</si>
  <si>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</si>
  <si>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</si>
  <si>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</si>
  <si>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</si>
  <si>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</si>
  <si>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</si>
  <si>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</si>
  <si>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</si>
  <si>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</si>
  <si>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</si>
  <si>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</si>
  <si>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</si>
  <si>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</si>
  <si>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</si>
  <si>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</si>
  <si>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</si>
  <si>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</si>
  <si>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</si>
  <si>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</si>
  <si>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</si>
  <si>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</si>
  <si>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</si>
  <si>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</si>
  <si>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</si>
  <si>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</si>
  <si>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</si>
  <si>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</si>
  <si>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</si>
  <si>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</si>
  <si>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</si>
  <si>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</si>
  <si>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</si>
  <si>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</si>
  <si>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</si>
  <si>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</si>
  <si>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</si>
  <si>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</si>
  <si>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</si>
  <si>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</si>
  <si>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</si>
  <si>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</si>
  <si>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</si>
  <si>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</si>
  <si>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</si>
  <si>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</si>
  <si>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</si>
  <si>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</si>
  <si>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</si>
  <si>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</si>
  <si>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</si>
  <si>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</si>
  <si>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</si>
  <si>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</si>
  <si>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</si>
  <si>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</si>
  <si>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</si>
  <si>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</si>
  <si>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</si>
  <si>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</si>
  <si>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</si>
  <si>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</si>
  <si>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</si>
  <si>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</si>
  <si>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</si>
  <si>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</si>
  <si>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</si>
  <si>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</si>
  <si>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</si>
  <si>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</si>
  <si>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</si>
  <si>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</si>
  <si>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</si>
  <si>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</si>
  <si>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</si>
  <si>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</si>
  <si>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</si>
  <si>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</si>
  <si>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</si>
  <si>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</si>
  <si>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</si>
  <si>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</si>
  <si>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</si>
  <si>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</si>
  <si>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</si>
  <si>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</si>
  <si>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</si>
  <si>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</si>
  <si>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</si>
  <si>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</si>
  <si>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</si>
  <si>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</si>
  <si>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</si>
  <si>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</si>
  <si>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</si>
  <si>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</si>
  <si>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</si>
  <si>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</si>
  <si>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</si>
  <si>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</si>
  <si>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</si>
  <si>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</si>
  <si>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</si>
  <si>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</si>
  <si>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</si>
  <si>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</si>
  <si>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</si>
  <si>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</si>
  <si>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</si>
  <si>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</si>
  <si>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</si>
  <si>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</si>
  <si>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</si>
  <si>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</si>
  <si>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</si>
  <si>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</si>
  <si>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</si>
  <si>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</si>
  <si>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</si>
  <si>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</si>
  <si>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</si>
  <si>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</si>
  <si>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</si>
  <si>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</si>
  <si>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</si>
  <si>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</si>
  <si>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</si>
  <si>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</si>
  <si>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</si>
  <si>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</si>
  <si>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</si>
  <si>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</si>
  <si>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</si>
  <si>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</si>
  <si>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</si>
  <si>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</si>
  <si>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</si>
  <si>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</si>
  <si>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</si>
  <si>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</si>
  <si>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</si>
  <si>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</si>
  <si>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</si>
  <si>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</si>
  <si>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</si>
  <si>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</si>
  <si>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</si>
  <si>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</si>
  <si>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</si>
  <si>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</si>
  <si>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</si>
  <si>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</si>
  <si>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</si>
  <si>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</si>
  <si>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</si>
  <si>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</si>
  <si>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</si>
  <si>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</si>
  <si>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</si>
  <si>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</si>
  <si>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</si>
  <si>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</si>
  <si>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</si>
  <si>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</si>
  <si>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</si>
  <si>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</si>
  <si>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</si>
  <si>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</si>
  <si>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</si>
  <si>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</si>
  <si>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</si>
  <si>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</si>
  <si>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</si>
  <si>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</si>
  <si>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</si>
  <si>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</si>
  <si>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</si>
  <si>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</si>
  <si>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</si>
  <si>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</si>
  <si>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</si>
  <si>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</si>
  <si>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</si>
  <si>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</si>
  <si>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</si>
  <si>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</si>
  <si>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</si>
  <si>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</si>
  <si>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</si>
  <si>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</si>
  <si>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</si>
  <si>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</si>
  <si>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</si>
  <si>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</si>
  <si>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</si>
  <si>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</si>
  <si>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</si>
  <si>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</si>
  <si>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</si>
  <si>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</si>
  <si>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</si>
  <si>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</si>
  <si>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</si>
  <si>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</si>
  <si>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</si>
  <si>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</si>
  <si>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</si>
  <si>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</si>
  <si>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</si>
  <si>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</si>
  <si>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</si>
  <si>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</si>
  <si>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</si>
  <si>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</si>
  <si>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</si>
  <si>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</si>
  <si>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</si>
  <si>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</si>
  <si>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</si>
  <si>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</si>
  <si>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</si>
  <si>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</si>
  <si>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</si>
  <si>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</si>
  <si>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</si>
  <si>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</si>
  <si>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</si>
  <si>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</si>
  <si>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</si>
  <si>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</si>
  <si>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</si>
  <si>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</si>
  <si>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</si>
  <si>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</si>
  <si>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</si>
  <si>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</si>
  <si>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</si>
  <si>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</si>
  <si>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</si>
  <si>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</si>
  <si>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</si>
  <si>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</si>
  <si>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</si>
  <si>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</si>
  <si>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</si>
  <si>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</si>
  <si>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</si>
  <si>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</si>
  <si>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</si>
  <si>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</si>
  <si>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</si>
  <si>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</si>
  <si>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</si>
  <si>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</si>
  <si>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</si>
  <si>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</si>
  <si>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</si>
  <si>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</si>
  <si>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</si>
  <si>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</si>
  <si>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</si>
  <si>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</si>
  <si>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</si>
  <si>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</si>
  <si>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</si>
  <si>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</si>
  <si>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</si>
  <si>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</si>
  <si>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</si>
  <si>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</si>
  <si>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</si>
  <si>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</si>
  <si>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</si>
  <si>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</si>
  <si>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</si>
  <si>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</si>
  <si>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</si>
  <si>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</si>
  <si>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</si>
  <si>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</si>
  <si>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</si>
  <si>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</si>
  <si>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</si>
  <si>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</si>
  <si>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</si>
  <si>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</si>
  <si>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</si>
  <si>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</si>
  <si>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</si>
  <si>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</si>
  <si>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</si>
  <si>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</si>
  <si>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</si>
  <si>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</si>
  <si>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</si>
  <si>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</si>
  <si>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</si>
  <si>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</si>
  <si>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</si>
  <si>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</si>
  <si>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</si>
  <si>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</si>
  <si>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</si>
  <si>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</si>
  <si>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</si>
  <si>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</si>
  <si>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</si>
  <si>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</si>
  <si>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</si>
  <si>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</si>
  <si>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</si>
  <si>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</si>
  <si>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</si>
  <si>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</si>
  <si>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</si>
  <si>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</si>
  <si>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</si>
  <si>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</si>
  <si>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</si>
  <si>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</si>
  <si>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</si>
  <si>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</si>
  <si>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</si>
  <si>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</si>
  <si>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</si>
  <si>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</si>
  <si>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</si>
  <si>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</si>
  <si>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</si>
  <si>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</si>
  <si>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</si>
  <si>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</si>
  <si>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</si>
  <si>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</si>
  <si>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</si>
  <si>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</si>
  <si>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</si>
  <si>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</si>
  <si>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</si>
  <si>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</si>
  <si>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</si>
  <si>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</si>
  <si>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</si>
  <si>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</si>
  <si>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</si>
  <si>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</si>
  <si>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</si>
  <si>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</si>
  <si>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</si>
  <si>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</si>
  <si>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</si>
  <si>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</si>
  <si>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</si>
  <si>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</si>
  <si>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</si>
  <si>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</si>
  <si>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</si>
  <si>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</si>
  <si>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</si>
  <si>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</si>
  <si>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</si>
  <si>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</si>
  <si>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</si>
  <si>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</si>
  <si>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</si>
  <si>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</si>
  <si>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</si>
  <si>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</si>
  <si>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</si>
  <si>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</si>
  <si>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</si>
  <si>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</si>
  <si>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</si>
  <si>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</si>
  <si>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</si>
  <si>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</si>
  <si>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</si>
  <si>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</si>
  <si>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</si>
  <si>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</si>
  <si>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</si>
  <si>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</si>
  <si>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</si>
  <si>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</si>
  <si>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</si>
  <si>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</si>
  <si>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</si>
  <si>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</si>
  <si>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</si>
  <si>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</si>
  <si>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</si>
  <si>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</si>
  <si>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</si>
  <si>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</si>
  <si>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</si>
  <si>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</si>
  <si>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</si>
  <si>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</si>
  <si>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</si>
  <si>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</si>
  <si>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</si>
  <si>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</si>
  <si>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</si>
  <si>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</si>
  <si>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</si>
  <si>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</si>
  <si>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</si>
  <si>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</si>
  <si>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</si>
  <si>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</si>
  <si>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</si>
  <si>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</si>
  <si>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</si>
  <si>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</si>
  <si>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</si>
  <si>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</si>
  <si>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</si>
  <si>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</si>
  <si>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</si>
  <si>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</si>
  <si>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</si>
  <si>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</si>
  <si>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</si>
  <si>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</si>
  <si>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</si>
  <si>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</si>
  <si>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</si>
  <si>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</si>
  <si>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</si>
  <si>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</si>
  <si>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</si>
  <si>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</si>
  <si>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</si>
  <si>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</si>
  <si>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</si>
  <si>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</si>
  <si>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</si>
  <si>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</si>
  <si>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</si>
  <si>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</si>
  <si>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</si>
  <si>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</si>
  <si>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</si>
  <si>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</si>
  <si>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</si>
  <si>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</si>
  <si>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</si>
  <si>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</si>
  <si>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</si>
  <si>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</si>
  <si>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</si>
  <si>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</si>
  <si>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</si>
  <si>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</si>
  <si>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</si>
  <si>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</si>
  <si>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</si>
  <si>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</si>
  <si>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</si>
  <si>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</si>
  <si>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</si>
  <si>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</si>
  <si>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</si>
  <si>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</si>
  <si>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</si>
  <si>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</si>
  <si>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</si>
  <si>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</si>
  <si>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</si>
  <si>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</si>
  <si>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</si>
  <si>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</si>
  <si>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</si>
  <si>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</si>
  <si>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</si>
  <si>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</si>
  <si>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</si>
  <si>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</si>
  <si>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</si>
  <si>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</si>
  <si>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</si>
  <si>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</si>
  <si>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</si>
  <si>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</si>
  <si>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</si>
  <si>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</si>
  <si>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</si>
  <si>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</si>
  <si>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</si>
  <si>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</si>
  <si>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</si>
  <si>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</si>
  <si>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</si>
  <si>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</si>
  <si>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</si>
  <si>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</si>
  <si>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</si>
  <si>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</si>
  <si>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</si>
  <si>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</si>
  <si>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</si>
  <si>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</si>
  <si>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</si>
  <si>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</si>
  <si>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</si>
  <si>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</si>
  <si>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</si>
  <si>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</si>
  <si>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</si>
  <si>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</si>
  <si>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</si>
  <si>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</si>
  <si>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</si>
  <si>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</si>
  <si>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</si>
  <si>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</si>
  <si>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</si>
  <si>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</si>
  <si>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</si>
  <si>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</si>
  <si>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</si>
  <si>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</si>
  <si>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</si>
  <si>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</si>
  <si>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</si>
  <si>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</si>
  <si>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</si>
  <si>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</si>
  <si>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</si>
  <si>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</si>
  <si>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</si>
  <si>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</si>
  <si>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</si>
  <si>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</si>
  <si>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</si>
  <si>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</si>
  <si>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</si>
  <si>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</si>
  <si>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</si>
  <si>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</si>
  <si>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</si>
  <si>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</si>
  <si>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</si>
  <si>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</si>
  <si>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</si>
  <si>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</si>
  <si>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</si>
  <si>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</si>
  <si>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</si>
  <si>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</si>
  <si>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</si>
  <si>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</si>
  <si>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</si>
  <si>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</si>
  <si>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</si>
  <si>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</si>
  <si>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</si>
  <si>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</si>
  <si>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</si>
  <si>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</si>
  <si>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</si>
  <si>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</si>
  <si>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</si>
  <si>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</si>
  <si>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</si>
  <si>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</si>
  <si>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</si>
  <si>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</si>
  <si>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</si>
  <si>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</si>
  <si>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</si>
  <si>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</si>
  <si>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</si>
  <si>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</si>
  <si>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</si>
  <si>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</si>
  <si>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</si>
  <si>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</si>
  <si>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</si>
  <si>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</si>
  <si>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</si>
  <si>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</si>
  <si>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</si>
  <si>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</si>
  <si>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</si>
  <si>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</si>
  <si>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</si>
  <si>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</si>
  <si>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</si>
  <si>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</si>
  <si>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</si>
  <si>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</si>
  <si>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</si>
  <si>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</si>
  <si>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</si>
  <si>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</si>
  <si>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</si>
  <si>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</si>
  <si>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</si>
  <si>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</si>
  <si>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</si>
  <si>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</si>
  <si>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</si>
  <si>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</si>
  <si>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</si>
  <si>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</si>
  <si>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</si>
  <si>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</si>
  <si>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</si>
  <si>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</si>
  <si>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</si>
  <si>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</si>
  <si>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</si>
  <si>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</si>
  <si>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</si>
  <si>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</si>
  <si>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</si>
  <si>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</si>
  <si>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</si>
  <si>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</si>
  <si>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</si>
  <si>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</si>
  <si>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</si>
  <si>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</si>
  <si>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</si>
  <si>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</si>
  <si>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</si>
  <si>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</si>
  <si>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</si>
  <si>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</si>
  <si>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</si>
  <si>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</si>
  <si>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</si>
  <si>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</si>
  <si>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</si>
  <si>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</si>
  <si>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</si>
  <si>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</si>
  <si>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</si>
  <si>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</si>
  <si>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</si>
  <si>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</si>
  <si>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</si>
  <si>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</si>
  <si>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</si>
  <si>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</si>
  <si>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</si>
  <si>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</si>
  <si>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</si>
  <si>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</si>
  <si>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</si>
  <si>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</si>
  <si>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</si>
  <si>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</si>
  <si>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</si>
  <si>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</si>
  <si>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</si>
  <si>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</si>
  <si>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</si>
  <si>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</si>
  <si>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</si>
  <si>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</si>
  <si>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</si>
  <si>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</si>
  <si>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</si>
  <si>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</si>
  <si>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</si>
  <si>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</si>
  <si>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</si>
  <si>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</si>
  <si>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</si>
  <si>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</si>
  <si>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</si>
  <si>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</si>
  <si>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</si>
  <si>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</si>
  <si>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</si>
  <si>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</si>
  <si>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</si>
  <si>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</si>
  <si>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</si>
  <si>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</si>
  <si>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</si>
  <si>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</si>
  <si>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</si>
  <si>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</si>
  <si>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</si>
  <si>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</si>
  <si>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</si>
  <si>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</si>
  <si>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</si>
  <si>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</si>
  <si>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</si>
  <si>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</si>
  <si>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</si>
  <si>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</si>
  <si>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</si>
  <si>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</si>
  <si>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</si>
  <si>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</si>
  <si>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</si>
  <si>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</si>
  <si>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</si>
  <si>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</si>
  <si>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</si>
  <si>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</si>
  <si>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</si>
  <si>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</si>
  <si>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</si>
  <si>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</si>
  <si>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</si>
  <si>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</si>
  <si>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</si>
  <si>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</si>
  <si>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</si>
  <si>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</si>
  <si>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</si>
  <si>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</si>
  <si>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</si>
  <si>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</si>
  <si>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</si>
  <si>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</si>
  <si>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</si>
  <si>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</si>
  <si>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</si>
  <si>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</si>
  <si>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</si>
  <si>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</si>
  <si>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</si>
  <si>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</si>
  <si>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</si>
  <si>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</si>
  <si>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</si>
  <si>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</si>
  <si>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</si>
  <si>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</si>
  <si>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</si>
  <si>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</si>
  <si>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</si>
  <si>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</si>
  <si>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</si>
  <si>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</si>
  <si>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</si>
  <si>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</si>
  <si>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</si>
  <si>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</si>
  <si>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</si>
  <si>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</si>
  <si>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</si>
  <si>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</si>
  <si>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</si>
  <si>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</si>
  <si>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</si>
  <si>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</si>
  <si>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</si>
  <si>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</si>
  <si>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</si>
  <si>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</si>
  <si>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</si>
  <si>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</si>
  <si>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</si>
  <si>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</si>
  <si>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</si>
  <si>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</si>
  <si>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</si>
  <si>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</si>
  <si>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</si>
  <si>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</si>
  <si>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</si>
  <si>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</si>
  <si>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</si>
  <si>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</si>
  <si>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</si>
  <si>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</si>
  <si>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</si>
  <si>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</si>
  <si>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</si>
  <si>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</si>
  <si>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</si>
  <si>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</si>
  <si>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</si>
  <si>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</si>
  <si>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</si>
  <si>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</si>
  <si>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</si>
  <si>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</si>
  <si>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</si>
  <si>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</si>
  <si>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</si>
  <si>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</si>
  <si>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</si>
  <si>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</si>
  <si>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</si>
  <si>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</si>
  <si>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</si>
  <si>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</si>
  <si>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</si>
  <si>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</si>
  <si>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</si>
  <si>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</si>
  <si>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</si>
  <si>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</si>
  <si>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</si>
  <si>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</si>
  <si>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</si>
  <si>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</si>
  <si>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</si>
  <si>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</si>
  <si>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</si>
  <si>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</si>
  <si>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</si>
  <si>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</si>
  <si>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</si>
  <si>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</si>
  <si>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</si>
  <si>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</si>
  <si>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</si>
  <si>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</si>
  <si>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</si>
  <si>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</si>
  <si>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</si>
  <si>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</si>
  <si>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</si>
  <si>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</si>
  <si>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</si>
  <si>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</si>
  <si>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</si>
  <si>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</si>
  <si>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</si>
  <si>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</si>
  <si>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</si>
  <si>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</si>
  <si>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</si>
  <si>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</si>
  <si>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</si>
  <si>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</si>
  <si>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</si>
  <si>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</si>
  <si>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</si>
  <si>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</si>
  <si>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</si>
  <si>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</si>
  <si>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</si>
  <si>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</si>
  <si>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</si>
  <si>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</si>
  <si>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</si>
  <si>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</si>
  <si>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</si>
  <si>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</si>
  <si>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</si>
  <si>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</si>
  <si>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</si>
  <si>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</si>
  <si>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</si>
  <si>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</si>
  <si>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</si>
  <si>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</si>
  <si>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</si>
  <si>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</si>
  <si>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</si>
  <si>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</si>
  <si>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</si>
  <si>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</si>
  <si>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</si>
  <si>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</si>
  <si>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</si>
  <si>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</si>
  <si>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</si>
  <si>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</si>
  <si>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</si>
  <si>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</si>
  <si>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</si>
  <si>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</si>
  <si>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</si>
  <si>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</si>
  <si>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</si>
  <si>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</si>
  <si>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</si>
  <si>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</si>
  <si>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</si>
  <si>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</si>
  <si>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</si>
  <si>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</si>
  <si>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</si>
  <si>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</si>
  <si>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</si>
  <si>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</si>
  <si>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</si>
  <si>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</si>
  <si>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</si>
  <si>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</si>
  <si>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</si>
  <si>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</si>
  <si>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</si>
  <si>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</si>
  <si>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</si>
  <si>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</si>
  <si>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</si>
  <si>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</si>
  <si>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</si>
  <si>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</si>
  <si>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</si>
  <si>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</si>
  <si>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</si>
  <si>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</si>
  <si>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</si>
  <si>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</si>
  <si>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</si>
  <si>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</si>
  <si>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</si>
  <si>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</si>
  <si>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</si>
  <si>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</si>
  <si>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</si>
  <si>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</si>
  <si>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</si>
  <si>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</si>
  <si>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</si>
  <si>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</si>
  <si>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</si>
  <si>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</si>
  <si>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</si>
  <si>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</si>
  <si>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</si>
  <si>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</si>
  <si>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</si>
  <si>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</si>
  <si>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</si>
  <si>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</si>
  <si>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</si>
  <si>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</si>
  <si>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</si>
  <si>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</si>
  <si>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</si>
  <si>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</si>
  <si>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</si>
  <si>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</si>
  <si>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</si>
  <si>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</si>
  <si>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</si>
  <si>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</si>
  <si>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</si>
  <si>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</si>
  <si>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</si>
  <si>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</si>
  <si>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</si>
  <si>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</si>
  <si>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</si>
  <si>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</si>
  <si>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</si>
  <si>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</si>
  <si>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</si>
  <si>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</si>
  <si>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</si>
  <si>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</si>
  <si>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</si>
  <si>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</si>
  <si>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</si>
  <si>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</si>
  <si>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</si>
  <si>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</si>
  <si>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</si>
  <si>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</si>
  <si>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</si>
  <si>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</si>
  <si>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</si>
  <si>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</si>
  <si>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</si>
  <si>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</si>
  <si>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</si>
  <si>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</si>
  <si>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</si>
  <si>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</si>
  <si>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</si>
  <si>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</si>
  <si>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</si>
  <si>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</si>
  <si>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</si>
  <si>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</si>
  <si>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</si>
  <si>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</si>
  <si>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</si>
  <si>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</si>
  <si>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</si>
  <si>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</si>
  <si>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</si>
  <si>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</si>
  <si>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</si>
  <si>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</si>
  <si>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</si>
  <si>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</si>
  <si>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</si>
  <si>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</si>
  <si>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</si>
  <si>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</si>
  <si>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</si>
  <si>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</si>
  <si>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</si>
  <si>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</si>
  <si>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</si>
  <si>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</si>
  <si>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</si>
  <si>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</si>
  <si>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</si>
  <si>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</si>
  <si>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</si>
  <si>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</si>
  <si>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</si>
  <si>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</si>
  <si>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</si>
  <si>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</si>
  <si>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</si>
  <si>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</si>
  <si>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</si>
  <si>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</si>
  <si>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</si>
  <si>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</si>
  <si>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</si>
  <si>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</si>
  <si>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</si>
  <si>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</si>
  <si>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</si>
  <si>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</si>
  <si>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</si>
  <si>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</si>
  <si>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</si>
  <si>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</si>
  <si>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</si>
  <si>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</si>
  <si>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</si>
  <si>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</si>
  <si>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</si>
  <si>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</si>
  <si>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</si>
  <si>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</si>
  <si>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</si>
  <si>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</si>
  <si>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</si>
  <si>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</si>
  <si>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</si>
  <si>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</si>
  <si>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</si>
  <si>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</si>
  <si>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</si>
  <si>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</si>
  <si>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</si>
  <si>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</si>
  <si>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</si>
  <si>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</si>
  <si>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</si>
  <si>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</si>
  <si>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</si>
  <si>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</si>
  <si>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</si>
  <si>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</si>
  <si>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</si>
  <si>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</si>
  <si>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</si>
  <si>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</si>
  <si>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</si>
  <si>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</si>
  <si>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</si>
  <si>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</si>
  <si>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</si>
  <si>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</si>
  <si>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</si>
  <si>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</si>
  <si>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</si>
  <si>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</si>
  <si>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</si>
  <si>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</si>
  <si>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</si>
  <si>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</si>
  <si>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</si>
  <si>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</si>
  <si>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</si>
  <si>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</si>
  <si>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</si>
  <si>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</si>
  <si>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</si>
  <si>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</si>
  <si>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</si>
  <si>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</si>
  <si>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</si>
  <si>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</si>
  <si>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</si>
  <si>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</si>
  <si>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</si>
  <si>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</si>
  <si>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</si>
  <si>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</si>
  <si>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</si>
  <si>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</si>
  <si>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</si>
  <si>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</si>
  <si>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</si>
  <si>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</si>
  <si>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</si>
  <si>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</si>
  <si>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</si>
  <si>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</si>
  <si>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</si>
  <si>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</si>
  <si>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</si>
  <si>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</si>
  <si>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</si>
  <si>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</si>
  <si>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</si>
  <si>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</si>
  <si>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</si>
  <si>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</si>
  <si>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</si>
  <si>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</si>
  <si>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</si>
  <si>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</si>
  <si>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</si>
  <si>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</si>
  <si>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</si>
  <si>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</si>
  <si>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</si>
  <si>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</si>
  <si>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</si>
  <si>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</si>
  <si>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</si>
  <si>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</si>
  <si>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</si>
  <si>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</si>
  <si>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</si>
  <si>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</si>
  <si>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</si>
  <si>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</si>
  <si>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</si>
  <si>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</si>
  <si>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</si>
  <si>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</si>
  <si>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</si>
  <si>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</si>
  <si>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</si>
  <si>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</si>
  <si>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</si>
  <si>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</si>
  <si>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</si>
  <si>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</si>
  <si>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</si>
  <si>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</si>
  <si>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</si>
  <si>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</si>
  <si>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</si>
  <si>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</si>
  <si>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</si>
  <si>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</si>
  <si>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</si>
  <si>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</si>
  <si>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</si>
  <si>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</si>
  <si>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</si>
  <si>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</si>
  <si>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</si>
  <si>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</si>
  <si>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</si>
  <si>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</si>
  <si>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</si>
  <si>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</si>
  <si>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</si>
  <si>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</si>
  <si>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</si>
  <si>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</si>
  <si>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</si>
  <si>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</si>
  <si>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</si>
  <si>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</si>
  <si>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</si>
  <si>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</si>
  <si>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</si>
  <si>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</si>
  <si>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</si>
  <si>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</si>
  <si>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</si>
  <si>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</si>
  <si>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</si>
  <si>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</si>
  <si>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</si>
  <si>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</si>
  <si>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</si>
  <si>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</si>
  <si>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</si>
  <si>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</si>
  <si>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</si>
  <si>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</si>
  <si>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</si>
  <si>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</si>
  <si>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</si>
  <si>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</si>
  <si>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</si>
  <si>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</si>
  <si>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</si>
  <si>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</si>
  <si>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</si>
  <si>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</si>
  <si>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</si>
  <si>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</si>
  <si>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</si>
  <si>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</si>
  <si>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</si>
  <si>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</si>
  <si>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</si>
  <si>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</si>
  <si>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</si>
  <si>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</si>
  <si>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</si>
  <si>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</si>
  <si>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</si>
  <si>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</si>
  <si>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</si>
  <si>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</si>
  <si>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</si>
  <si>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</si>
  <si>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</si>
  <si>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</si>
  <si>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</si>
  <si>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</si>
  <si>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</si>
  <si>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</si>
  <si>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</si>
  <si>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</si>
  <si>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</si>
  <si>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</si>
  <si>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</si>
  <si>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</si>
  <si>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</si>
  <si>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</si>
  <si>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</si>
  <si>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</si>
  <si>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</si>
  <si>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</si>
  <si>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</si>
  <si>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</si>
  <si>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</si>
  <si>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</si>
  <si>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</si>
  <si>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</si>
  <si>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</si>
  <si>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</si>
  <si>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</si>
  <si>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</si>
  <si>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</si>
  <si>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</si>
  <si>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</si>
  <si>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</si>
  <si>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</si>
  <si>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</si>
  <si>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</si>
  <si>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</si>
  <si>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</si>
  <si>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</si>
  <si>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</si>
  <si>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</si>
  <si>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</si>
  <si>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</si>
  <si>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</si>
  <si>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</si>
  <si>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</si>
  <si>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</si>
  <si>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</si>
  <si>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</si>
  <si>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</si>
  <si>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</si>
  <si>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</si>
  <si>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</si>
  <si>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</si>
  <si>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</si>
  <si>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</si>
  <si>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</si>
  <si>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</si>
  <si>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</si>
  <si>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</si>
  <si>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</si>
  <si>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</si>
  <si>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</si>
  <si>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</si>
  <si>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</si>
  <si>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</si>
  <si>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</si>
  <si>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</si>
  <si>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</si>
  <si>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</si>
  <si>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</si>
  <si>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</si>
  <si>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</si>
  <si>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</si>
  <si>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</si>
  <si>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</si>
  <si>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</si>
  <si>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</si>
  <si>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</si>
  <si>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</si>
  <si>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</si>
  <si>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</si>
  <si>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</si>
  <si>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</si>
  <si>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</si>
  <si>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</si>
  <si>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</si>
  <si>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</si>
  <si>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</si>
  <si>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</si>
  <si>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</si>
  <si>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</si>
  <si>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</si>
  <si>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</si>
  <si>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</si>
  <si>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</si>
  <si>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</si>
  <si>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</si>
  <si>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</si>
  <si>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</si>
  <si>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</si>
  <si>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</si>
  <si>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</si>
  <si>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</si>
  <si>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</si>
  <si>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</si>
  <si>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</si>
  <si>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</si>
  <si>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</si>
  <si>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</si>
  <si>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</si>
  <si>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</si>
  <si>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</si>
  <si>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</si>
  <si>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</si>
  <si>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</si>
  <si>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</si>
  <si>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</si>
  <si>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</si>
  <si>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</si>
  <si>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</si>
  <si>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</si>
  <si>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</si>
  <si>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</si>
  <si>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</si>
  <si>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</si>
  <si>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</si>
  <si>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</si>
  <si>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</si>
  <si>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</si>
  <si>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</si>
  <si>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</si>
  <si>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</si>
  <si>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</si>
  <si>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</si>
  <si>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</si>
  <si>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</si>
  <si>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</si>
  <si>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</si>
  <si>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</si>
  <si>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</si>
  <si>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</si>
  <si>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</si>
  <si>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</si>
  <si>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</si>
  <si>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</si>
  <si>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</si>
  <si>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</si>
  <si>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</si>
  <si>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</si>
  <si>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</si>
  <si>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</si>
  <si>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</si>
  <si>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</si>
  <si>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</si>
  <si>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</si>
  <si>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</si>
  <si>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</si>
  <si>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</si>
  <si>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</si>
  <si>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</si>
  <si>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</si>
  <si>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</si>
  <si>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</si>
  <si>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</si>
  <si>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</si>
  <si>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</si>
  <si>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</si>
  <si>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</si>
  <si>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</si>
  <si>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</si>
  <si>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</si>
  <si>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</si>
  <si>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</si>
  <si>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</si>
  <si>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</si>
  <si>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</si>
  <si>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</si>
  <si>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</si>
  <si>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</si>
  <si>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</si>
  <si>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</si>
  <si>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</si>
  <si>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</si>
  <si>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</si>
  <si>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</si>
  <si>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</si>
  <si>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</si>
  <si>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</si>
  <si>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</si>
  <si>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</si>
  <si>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</si>
  <si>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</si>
  <si>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</si>
  <si>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</si>
  <si>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</si>
  <si>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</si>
  <si>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</si>
  <si>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</si>
  <si>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</si>
  <si>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</si>
  <si>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</si>
  <si>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</si>
  <si>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</si>
  <si>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</si>
  <si>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</si>
  <si>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</si>
  <si>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</si>
  <si>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</si>
  <si>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</si>
  <si>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</si>
  <si>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</si>
  <si>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</si>
  <si>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</si>
  <si>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</si>
  <si>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</si>
  <si>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</si>
  <si>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</si>
  <si>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</si>
  <si>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</si>
  <si>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</si>
  <si>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</si>
  <si>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</si>
  <si>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</si>
  <si>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</si>
  <si>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</si>
  <si>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</si>
  <si>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</si>
  <si>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</si>
  <si>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</si>
  <si>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</si>
  <si>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</si>
  <si>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</si>
  <si>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</si>
  <si>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</si>
  <si>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</si>
  <si>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</si>
  <si>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</si>
  <si>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</si>
  <si>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</si>
  <si>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</si>
  <si>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</si>
  <si>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</si>
  <si>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</si>
  <si>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</si>
  <si>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</si>
  <si>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</si>
  <si>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</si>
  <si>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</si>
  <si>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</si>
  <si>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</si>
  <si>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</si>
  <si>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</si>
  <si>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</si>
  <si>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</si>
  <si>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</si>
  <si>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</si>
  <si>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</si>
  <si>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</si>
  <si>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</si>
  <si>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</si>
  <si>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</si>
  <si>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</si>
  <si>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</si>
  <si>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</si>
  <si>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</si>
  <si>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</si>
  <si>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</si>
  <si>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</si>
  <si>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</si>
  <si>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</si>
  <si>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</si>
  <si>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</si>
  <si>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</si>
  <si>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</si>
  <si>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</si>
  <si>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</si>
  <si>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</si>
  <si>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</si>
  <si>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</si>
  <si>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</si>
  <si>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</si>
  <si>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</si>
  <si>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</si>
  <si>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</si>
  <si>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</si>
  <si>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</si>
  <si>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</si>
  <si>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</si>
  <si>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</si>
  <si>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</si>
  <si>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</si>
  <si>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</si>
  <si>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</si>
  <si>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</si>
  <si>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</si>
  <si>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</si>
  <si>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</si>
  <si>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</si>
  <si>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</si>
  <si>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</si>
  <si>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</si>
  <si>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</si>
  <si>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</si>
  <si>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</si>
  <si>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</si>
  <si>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</si>
  <si>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</si>
  <si>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</si>
  <si>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</si>
  <si>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</si>
  <si>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</si>
  <si>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</si>
  <si>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</si>
  <si>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</si>
  <si>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</si>
  <si>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</si>
  <si>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</si>
  <si>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</si>
  <si>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</si>
  <si>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</si>
  <si>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</si>
  <si>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</si>
  <si>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</si>
  <si>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</si>
  <si>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</si>
  <si>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</si>
  <si>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</si>
  <si>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</si>
  <si>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</si>
  <si>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</si>
  <si>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</si>
  <si>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</si>
  <si>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</si>
  <si>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</si>
  <si>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</si>
  <si>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</si>
  <si>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</si>
  <si>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</si>
  <si>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</si>
  <si>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</si>
  <si>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</si>
  <si>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</si>
  <si>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</si>
  <si>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</si>
  <si>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</si>
  <si>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</si>
  <si>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</si>
  <si>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</si>
  <si>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</si>
  <si>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</si>
  <si>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</si>
  <si>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</si>
  <si>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</si>
  <si>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</si>
  <si>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</si>
  <si>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</si>
  <si>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</si>
  <si>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</si>
  <si>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</si>
  <si>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</si>
  <si>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</si>
  <si>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</si>
  <si>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</si>
  <si>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</si>
  <si>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</si>
  <si>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</si>
  <si>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</si>
  <si>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</si>
  <si>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</si>
  <si>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</si>
  <si>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</si>
  <si>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</si>
  <si>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</si>
  <si>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</si>
  <si>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</si>
  <si>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</si>
  <si>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</si>
  <si>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</si>
  <si>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</si>
  <si>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</si>
  <si>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</si>
  <si>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</si>
  <si>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</si>
  <si>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</si>
  <si>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</si>
  <si>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</si>
  <si>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</si>
  <si>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</si>
  <si>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</si>
  <si>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</si>
  <si>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</si>
  <si>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</si>
  <si>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</si>
  <si>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</si>
  <si>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</si>
  <si>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</si>
  <si>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</si>
  <si>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</si>
  <si>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</si>
  <si>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</si>
  <si>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</si>
  <si>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</si>
  <si>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</si>
  <si>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</si>
  <si>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</si>
  <si>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</si>
  <si>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</si>
  <si>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</si>
  <si>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</si>
  <si>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</si>
  <si>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</si>
  <si>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</si>
  <si>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</si>
  <si>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</si>
  <si>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</si>
  <si>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</si>
  <si>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</si>
  <si>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</si>
  <si>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</si>
  <si>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</si>
  <si>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</si>
  <si>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</si>
  <si>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</si>
  <si>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</si>
  <si>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</si>
  <si>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</si>
  <si>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</si>
  <si>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</si>
  <si>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</si>
  <si>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</si>
  <si>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</si>
  <si>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</si>
  <si>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</si>
  <si>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</si>
  <si>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</si>
  <si>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</si>
  <si>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</si>
  <si>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</si>
  <si>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</si>
  <si>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</si>
  <si>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</si>
  <si>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</si>
  <si>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</si>
  <si>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</si>
  <si>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</si>
  <si>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</si>
  <si>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</si>
  <si>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</si>
  <si>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</si>
  <si>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</si>
  <si>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</si>
  <si>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</si>
  <si>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</si>
  <si>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</si>
  <si>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</si>
  <si>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</si>
  <si>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</si>
  <si>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</si>
  <si>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</si>
  <si>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</si>
  <si>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</si>
  <si>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</si>
  <si>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</si>
  <si>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</si>
  <si>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</si>
  <si>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</si>
  <si>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</si>
  <si>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</si>
  <si>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</si>
  <si>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</si>
  <si>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</si>
  <si>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</si>
  <si>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</si>
  <si>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</si>
  <si>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</si>
  <si>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</si>
  <si>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</si>
  <si>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</si>
  <si>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</si>
  <si>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</si>
  <si>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</si>
  <si>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</si>
  <si>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</si>
  <si>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</si>
  <si>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</si>
  <si>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</si>
  <si>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</si>
  <si>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</si>
  <si>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</si>
  <si>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</si>
  <si>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</si>
  <si>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</si>
  <si>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</si>
  <si>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</si>
  <si>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</si>
  <si>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</si>
  <si>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</si>
  <si>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</si>
  <si>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</si>
  <si>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</si>
  <si>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</si>
  <si>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</si>
  <si>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</si>
  <si>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</si>
  <si>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</si>
  <si>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</si>
  <si>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</si>
  <si>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</si>
  <si>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</si>
  <si>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</si>
  <si>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</si>
  <si>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</si>
  <si>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</si>
  <si>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</si>
  <si>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</si>
  <si>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</si>
  <si>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</si>
  <si>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</si>
  <si>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</si>
  <si>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</si>
  <si>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</si>
  <si>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</si>
  <si>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</si>
  <si>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</si>
  <si>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</si>
  <si>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</si>
  <si>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</si>
  <si>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</si>
  <si>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</si>
  <si>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</si>
  <si>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</si>
  <si>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</si>
  <si>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</si>
  <si>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</si>
  <si>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</si>
  <si>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</si>
  <si>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</si>
  <si>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</si>
  <si>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</si>
  <si>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</si>
  <si>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</si>
  <si>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</si>
  <si>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</si>
  <si>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</si>
  <si>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</si>
  <si>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</si>
  <si>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</si>
  <si>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</si>
  <si>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</si>
  <si>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</si>
  <si>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</si>
  <si>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</si>
  <si>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</si>
  <si>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</si>
  <si>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</si>
  <si>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</si>
  <si>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</si>
  <si>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</si>
  <si>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</si>
  <si>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</si>
  <si>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</si>
  <si>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</si>
  <si>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</si>
  <si>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</si>
  <si>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</si>
  <si>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</si>
  <si>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</si>
  <si>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</si>
  <si>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</si>
  <si>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</si>
  <si>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</si>
  <si>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</si>
  <si>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</si>
  <si>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</si>
  <si>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</si>
  <si>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</si>
  <si>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</si>
  <si>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</si>
  <si>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</si>
  <si>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</si>
  <si>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</si>
  <si>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</si>
  <si>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</si>
  <si>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</si>
  <si>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</si>
  <si>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</si>
  <si>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</si>
  <si>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</si>
  <si>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</si>
  <si>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</si>
  <si>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</si>
  <si>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</si>
  <si>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</si>
  <si>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</si>
  <si>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</si>
  <si>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</si>
  <si>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</si>
  <si>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</si>
  <si>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</si>
  <si>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</si>
  <si>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</si>
  <si>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</si>
  <si>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</si>
  <si>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</si>
  <si>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</si>
  <si>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</si>
  <si>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</si>
  <si>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</si>
  <si>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</si>
  <si>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</si>
  <si>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</si>
  <si>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</si>
  <si>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</si>
  <si>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</si>
  <si>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</si>
  <si>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</si>
  <si>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</si>
  <si>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</si>
  <si>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</si>
  <si>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</si>
  <si>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</si>
  <si>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</si>
  <si>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</si>
  <si>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</si>
  <si>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</si>
  <si>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</si>
  <si>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</si>
  <si>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</si>
  <si>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</si>
  <si>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</si>
  <si>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</si>
  <si>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</si>
  <si>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</si>
  <si>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</si>
  <si>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</si>
  <si>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</si>
  <si>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</si>
  <si>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</si>
  <si>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</si>
  <si>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</si>
  <si>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</si>
  <si>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</si>
  <si>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</si>
  <si>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</si>
  <si>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</si>
  <si>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</si>
  <si>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</si>
  <si>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</si>
  <si>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</si>
  <si>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</si>
  <si>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</si>
  <si>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</si>
  <si>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</si>
  <si>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</si>
  <si>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</si>
  <si>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</si>
  <si>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</si>
  <si>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</si>
  <si>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</si>
  <si>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</si>
  <si>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</si>
  <si>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</si>
  <si>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</si>
  <si>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</si>
  <si>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</si>
  <si>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</si>
  <si>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</si>
  <si>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</si>
  <si>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</si>
  <si>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</si>
  <si>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</si>
  <si>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</si>
  <si>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</si>
  <si>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</si>
  <si>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</si>
  <si>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</si>
  <si>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</si>
  <si>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</si>
  <si>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</si>
  <si>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</si>
  <si>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</si>
  <si>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</si>
  <si>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</si>
  <si>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</si>
  <si>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</si>
  <si>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</si>
  <si>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</si>
  <si>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</si>
  <si>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</si>
  <si>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</si>
  <si>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</si>
  <si>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</si>
  <si>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</si>
  <si>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</si>
  <si>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</si>
  <si>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</si>
  <si>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</si>
  <si>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</si>
  <si>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</si>
  <si>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</si>
  <si>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</si>
  <si>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</si>
  <si>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</si>
  <si>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</si>
  <si>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</si>
  <si>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</si>
  <si>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</si>
  <si>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</si>
  <si>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</si>
  <si>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</si>
  <si>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</si>
  <si>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</si>
  <si>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</si>
  <si>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</si>
  <si>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</si>
  <si>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</si>
  <si>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</si>
  <si>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</si>
  <si>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</si>
  <si>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</si>
  <si>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</si>
  <si>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</si>
  <si>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</si>
  <si>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</si>
  <si>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</si>
  <si>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</si>
  <si>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</si>
  <si>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</si>
  <si>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</si>
  <si>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</si>
  <si>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</si>
  <si>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</si>
  <si>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</si>
  <si>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</si>
  <si>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</si>
  <si>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</si>
  <si>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</si>
  <si>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</si>
  <si>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</si>
  <si>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</si>
  <si>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</si>
  <si>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</si>
  <si>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</si>
  <si>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</si>
  <si>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</si>
  <si>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</si>
  <si>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</si>
  <si>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</si>
  <si>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</si>
  <si>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</si>
  <si>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</si>
  <si>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</si>
  <si>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</si>
  <si>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</si>
  <si>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</si>
  <si>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</si>
  <si>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</si>
  <si>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</si>
  <si>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</si>
  <si>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</si>
  <si>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</si>
  <si>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</si>
  <si>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</si>
  <si>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</si>
  <si>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</si>
  <si>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</si>
  <si>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</si>
  <si>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</si>
  <si>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</si>
  <si>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</si>
  <si>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</si>
  <si>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</si>
  <si>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</si>
  <si>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</si>
  <si>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</si>
  <si>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</si>
  <si>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</si>
  <si>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</si>
  <si>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</si>
  <si>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</si>
  <si>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</si>
  <si>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</si>
  <si>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</si>
  <si>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</si>
  <si>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</si>
  <si>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</si>
  <si>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</si>
  <si>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</si>
  <si>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</si>
  <si>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</si>
  <si>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</si>
  <si>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</si>
  <si>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</si>
  <si>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</si>
  <si>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</si>
  <si>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</si>
  <si>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</si>
  <si>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</si>
  <si>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</si>
  <si>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</si>
  <si>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</si>
  <si>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</si>
  <si>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</si>
  <si>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</si>
  <si>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</si>
  <si>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</si>
  <si>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</si>
  <si>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</si>
  <si>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</si>
  <si>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</si>
  <si>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</si>
  <si>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</si>
  <si>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</si>
  <si>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</si>
  <si>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</si>
  <si>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</si>
  <si>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</si>
  <si>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</si>
  <si>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</si>
  <si>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</si>
  <si>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</si>
  <si>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</si>
  <si>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</si>
  <si>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</si>
  <si>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</si>
  <si>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</si>
  <si>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</si>
  <si>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</si>
  <si>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</si>
  <si>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</si>
  <si>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</si>
  <si>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</si>
  <si>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</si>
  <si>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</si>
  <si>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</si>
  <si>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</si>
  <si>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</si>
  <si>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</si>
  <si>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</si>
  <si>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</si>
  <si>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</si>
  <si>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</si>
  <si>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</si>
  <si>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</si>
  <si>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</si>
  <si>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</si>
  <si>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</si>
  <si>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</si>
  <si>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</si>
  <si>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</si>
  <si>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</si>
  <si>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</si>
  <si>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</si>
  <si>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</si>
  <si>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</si>
  <si>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</si>
  <si>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</si>
  <si>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</si>
  <si>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</si>
  <si>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</si>
  <si>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</si>
  <si>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</si>
  <si>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</si>
  <si>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</si>
  <si>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</si>
  <si>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</si>
  <si>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</si>
  <si>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</si>
  <si>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</si>
  <si>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</si>
  <si>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</si>
  <si>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</si>
  <si>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</si>
  <si>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</si>
  <si>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</si>
  <si>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</si>
  <si>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</si>
  <si>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</si>
  <si>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</si>
  <si>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</si>
  <si>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</si>
  <si>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</si>
  <si>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</si>
  <si>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</si>
  <si>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</si>
  <si>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</si>
  <si>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</si>
  <si>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</si>
  <si>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</si>
  <si>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</si>
  <si>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</si>
  <si>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</si>
  <si>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</si>
  <si>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</si>
  <si>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</si>
  <si>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</si>
  <si>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</si>
  <si>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</si>
  <si>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</si>
  <si>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</si>
  <si>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</si>
  <si>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</si>
  <si>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</si>
  <si>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</si>
  <si>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</si>
  <si>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</si>
  <si>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</si>
  <si>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</si>
  <si>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</si>
  <si>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</si>
  <si>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</si>
  <si>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</si>
  <si>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</si>
  <si>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</si>
  <si>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</si>
  <si>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</si>
  <si>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</si>
  <si>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</si>
  <si>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</si>
  <si>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</si>
  <si>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</si>
  <si>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</si>
  <si>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</si>
  <si>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</si>
  <si>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</si>
  <si>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</si>
  <si>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</si>
  <si>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</si>
  <si>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</si>
  <si>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</si>
  <si>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</si>
  <si>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</si>
  <si>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</si>
  <si>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</si>
  <si>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</si>
  <si>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</si>
  <si>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</si>
  <si>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</si>
  <si>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</si>
  <si>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</si>
  <si>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</si>
  <si>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</si>
  <si>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</si>
  <si>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</si>
  <si>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</si>
  <si>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</si>
  <si>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</si>
  <si>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</si>
  <si>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</si>
  <si>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</si>
  <si>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</si>
  <si>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</si>
  <si>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</si>
  <si>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</si>
  <si>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</si>
  <si>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</si>
  <si>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</si>
  <si>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</si>
  <si>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</si>
  <si>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</si>
  <si>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</si>
  <si>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</si>
  <si>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</si>
  <si>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</si>
  <si>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</si>
  <si>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</si>
  <si>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</si>
  <si>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</si>
  <si>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</si>
  <si>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</si>
  <si>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</si>
  <si>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</si>
  <si>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</si>
  <si>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</si>
  <si>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</si>
  <si>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</si>
  <si>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</si>
  <si>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</si>
  <si>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</si>
  <si>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</si>
  <si>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</si>
  <si>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</si>
  <si>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</si>
  <si>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</si>
  <si>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</si>
  <si>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</si>
  <si>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</si>
  <si>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</si>
  <si>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</si>
  <si>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</si>
  <si>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</si>
  <si>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</si>
  <si>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</si>
  <si>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</si>
  <si>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</si>
  <si>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</si>
  <si>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</si>
  <si>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</si>
  <si>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</si>
  <si>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</si>
  <si>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</si>
  <si>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</si>
  <si>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</si>
  <si>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</si>
  <si>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</si>
  <si>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</si>
  <si>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</si>
  <si>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</si>
  <si>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</si>
  <si>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</si>
  <si>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</si>
  <si>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</si>
  <si>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</si>
  <si>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</si>
  <si>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</si>
  <si>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</si>
  <si>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</si>
  <si>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</si>
  <si>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</si>
  <si>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</si>
  <si>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</si>
  <si>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</si>
  <si>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</si>
  <si>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</si>
  <si>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</si>
  <si>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</si>
  <si>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</si>
  <si>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</si>
  <si>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</si>
  <si>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</si>
  <si>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</si>
  <si>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</si>
  <si>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</si>
  <si>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</si>
  <si>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</si>
  <si>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</si>
  <si>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</si>
  <si>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</si>
  <si>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</si>
  <si>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</si>
  <si>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</si>
  <si>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</si>
  <si>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</si>
  <si>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</si>
  <si>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</si>
  <si>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</si>
  <si>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</si>
  <si>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</si>
  <si>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</si>
  <si>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</si>
  <si>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</si>
  <si>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</si>
  <si>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</si>
  <si>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</si>
  <si>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</si>
  <si>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</si>
  <si>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</si>
  <si>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</si>
  <si>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</si>
  <si>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</si>
  <si>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</si>
  <si>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</si>
  <si>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</si>
  <si>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</si>
  <si>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</si>
  <si>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</si>
  <si>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</si>
  <si>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</si>
  <si>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</si>
  <si>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</si>
  <si>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</si>
  <si>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</si>
  <si>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</si>
  <si>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</si>
  <si>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</si>
  <si>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</si>
  <si>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</si>
  <si>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</si>
  <si>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</si>
  <si>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</si>
  <si>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</si>
  <si>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</si>
  <si>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</si>
  <si>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</si>
  <si>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</si>
  <si>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</si>
  <si>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</si>
  <si>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</si>
  <si>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</si>
  <si>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</si>
  <si>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</si>
  <si>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</si>
  <si>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</si>
  <si>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</si>
  <si>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</si>
  <si>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</si>
  <si>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</si>
  <si>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</si>
  <si>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</si>
  <si>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</si>
  <si>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</si>
  <si>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</si>
  <si>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</si>
  <si>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</si>
  <si>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</si>
  <si>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</si>
  <si>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</si>
  <si>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</si>
  <si>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</si>
  <si>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</si>
  <si>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</si>
  <si>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</si>
  <si>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</si>
  <si>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</si>
  <si>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</si>
  <si>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</si>
  <si>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</si>
  <si>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</si>
  <si>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</si>
  <si>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</si>
  <si>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</si>
  <si>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</si>
  <si>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</si>
  <si>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</si>
  <si>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</si>
  <si>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</si>
  <si>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</si>
  <si>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</si>
  <si>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</si>
  <si>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</si>
  <si>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</si>
  <si>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</si>
  <si>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</si>
  <si>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</si>
  <si>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</si>
  <si>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</si>
  <si>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</si>
  <si>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</si>
  <si>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</si>
  <si>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</si>
  <si>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</si>
  <si>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</si>
  <si>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</si>
  <si>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</si>
  <si>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</si>
  <si>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</si>
  <si>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</si>
  <si>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</si>
  <si>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</si>
  <si>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</si>
  <si>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</si>
  <si>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</si>
  <si>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</si>
  <si>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</si>
  <si>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</si>
  <si>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</si>
  <si>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</si>
  <si>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</si>
  <si>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</si>
  <si>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</si>
  <si>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</si>
  <si>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</si>
  <si>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</si>
  <si>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</si>
  <si>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</si>
  <si>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</si>
  <si>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</si>
  <si>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</si>
  <si>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</si>
  <si>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</si>
  <si>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</si>
  <si>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</si>
  <si>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</si>
  <si>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</si>
  <si>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</si>
  <si>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</si>
  <si>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</si>
  <si>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</si>
  <si>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</si>
  <si>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</si>
  <si>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</si>
  <si>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</si>
  <si>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</si>
  <si>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</si>
  <si>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</si>
  <si>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</si>
  <si>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</si>
  <si>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</si>
  <si>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</si>
  <si>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</si>
  <si>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</si>
  <si>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</si>
  <si>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</si>
  <si>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</si>
  <si>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</si>
  <si>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</si>
  <si>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</si>
  <si>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</si>
  <si>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</si>
  <si>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</si>
  <si>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</si>
  <si>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</si>
  <si>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</si>
  <si>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</si>
  <si>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</si>
  <si>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</si>
  <si>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</si>
  <si>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</si>
  <si>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</si>
  <si>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</si>
  <si>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</si>
  <si>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</si>
  <si>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</si>
  <si>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</si>
  <si>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</si>
  <si>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</si>
  <si>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</si>
  <si>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</si>
  <si>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</si>
  <si>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</si>
  <si>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</si>
  <si>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</si>
  <si>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</si>
  <si>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</si>
  <si>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</si>
  <si>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</si>
  <si>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</si>
  <si>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</si>
  <si>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</si>
  <si>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</si>
  <si>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</si>
  <si>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</si>
  <si>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</si>
  <si>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</si>
  <si>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</si>
  <si>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</si>
  <si>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</si>
  <si>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</si>
  <si>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</si>
  <si>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</si>
  <si>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</si>
  <si>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</si>
  <si>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</si>
  <si>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</si>
  <si>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</si>
  <si>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</si>
  <si>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</si>
  <si>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</si>
  <si>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</si>
  <si>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</si>
  <si>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</si>
  <si>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</si>
  <si>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</si>
  <si>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</si>
  <si>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</si>
  <si>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</si>
  <si>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</si>
  <si>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</si>
  <si>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</si>
  <si>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</si>
  <si>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</si>
  <si>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</si>
  <si>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</si>
  <si>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</si>
  <si>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</si>
  <si>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</si>
  <si>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</si>
  <si>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</si>
  <si>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</si>
  <si>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</si>
  <si>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</si>
  <si>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</si>
  <si>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</si>
  <si>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</si>
  <si>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</si>
  <si>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</si>
  <si>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</si>
  <si>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</si>
  <si>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</si>
  <si>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</si>
  <si>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</si>
  <si>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</si>
  <si>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</si>
  <si>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</si>
  <si>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</si>
  <si>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</si>
  <si>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</si>
  <si>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</si>
  <si>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</si>
  <si>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</si>
  <si>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</si>
  <si>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</si>
  <si>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</si>
  <si>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</si>
  <si>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</si>
  <si>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</si>
  <si>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</si>
  <si>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</si>
  <si>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</si>
  <si>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</si>
  <si>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</si>
  <si>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</si>
  <si>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</si>
  <si>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</si>
  <si>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</si>
  <si>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</si>
  <si>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</si>
  <si>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</si>
  <si>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</si>
  <si>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</si>
  <si>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</si>
  <si>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</si>
  <si>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</si>
  <si>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</si>
  <si>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</si>
  <si>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</si>
  <si>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</si>
  <si>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</si>
  <si>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</si>
  <si>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</si>
  <si>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</si>
  <si>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</si>
  <si>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</si>
  <si>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</si>
  <si>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</si>
  <si>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</si>
  <si>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</si>
  <si>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</si>
  <si>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</si>
  <si>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</si>
  <si>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</si>
  <si>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</si>
  <si>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</si>
  <si>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</si>
  <si>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</si>
  <si>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</si>
  <si>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</si>
  <si>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</si>
  <si>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</si>
  <si>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</si>
  <si>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</si>
  <si>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</si>
  <si>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</si>
  <si>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</si>
  <si>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</si>
  <si>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</si>
  <si>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</si>
  <si>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</si>
  <si>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</si>
  <si>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</si>
  <si>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</si>
  <si>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</si>
  <si>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</si>
  <si>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</si>
  <si>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</si>
  <si>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</si>
  <si>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</si>
  <si>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</si>
  <si>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</si>
  <si>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</si>
  <si>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</si>
  <si>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</si>
  <si>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</si>
  <si>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</si>
  <si>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</si>
  <si>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</si>
  <si>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</si>
  <si>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</si>
  <si>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</si>
  <si>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</si>
  <si>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</si>
  <si>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</si>
  <si>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</si>
  <si>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</si>
  <si>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</si>
  <si>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</si>
  <si>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</si>
  <si>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</si>
  <si>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</si>
  <si>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</si>
  <si>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</si>
  <si>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</si>
  <si>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</si>
  <si>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</si>
  <si>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</si>
  <si>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</si>
  <si>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</si>
  <si>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</si>
  <si>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</si>
  <si>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</si>
  <si>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</si>
  <si>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</si>
  <si>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</si>
  <si>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</si>
  <si>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</si>
  <si>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</si>
  <si>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</si>
  <si>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</si>
  <si>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</si>
  <si>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</si>
  <si>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</si>
  <si>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</si>
  <si>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</si>
  <si>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</si>
  <si>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</si>
  <si>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</si>
  <si>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</si>
  <si>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</si>
  <si>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</si>
  <si>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</si>
  <si>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</si>
  <si>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</si>
  <si>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</si>
  <si>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</si>
  <si>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</si>
  <si>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</si>
  <si>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</si>
  <si>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</si>
  <si>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</si>
  <si>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</si>
  <si>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</si>
  <si>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</si>
  <si>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</si>
  <si>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</si>
  <si>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</si>
  <si>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</si>
  <si>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</si>
  <si>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</si>
  <si>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</si>
  <si>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</si>
  <si>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</si>
  <si>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</si>
  <si>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</si>
  <si>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</si>
  <si>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</si>
  <si>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</si>
  <si>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</si>
  <si>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</si>
  <si>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</si>
  <si>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</si>
  <si>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</si>
  <si>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</si>
  <si>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</si>
  <si>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</si>
  <si>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</si>
  <si>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</si>
  <si>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</si>
  <si>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</si>
  <si>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</si>
  <si>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</si>
  <si>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</si>
  <si>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</si>
  <si>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</si>
  <si>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</si>
  <si>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</si>
  <si>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</si>
  <si>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</si>
  <si>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</si>
  <si>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</si>
  <si>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</si>
  <si>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</si>
  <si>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</si>
  <si>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</si>
  <si>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</si>
  <si>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</si>
  <si>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</si>
  <si>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</si>
  <si>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</si>
  <si>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</si>
  <si>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</si>
  <si>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</si>
  <si>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</si>
  <si>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</si>
  <si>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</si>
  <si>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</si>
  <si>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</si>
  <si>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</si>
  <si>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</si>
  <si>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</si>
  <si>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</si>
  <si>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</si>
  <si>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</si>
  <si>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</si>
  <si>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</si>
  <si>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</si>
  <si>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</si>
  <si>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</si>
  <si>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</si>
  <si>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</si>
  <si>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</si>
  <si>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</si>
  <si>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</si>
  <si>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</si>
  <si>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</si>
  <si>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</si>
  <si>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</si>
  <si>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</si>
  <si>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</si>
  <si>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</si>
  <si>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</si>
  <si>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</si>
  <si>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</si>
  <si>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</si>
  <si>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</si>
  <si>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</si>
  <si>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</si>
  <si>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</si>
  <si>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</si>
  <si>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</si>
  <si>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</si>
  <si>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</si>
  <si>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</si>
  <si>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</si>
  <si>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</si>
  <si>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</si>
  <si>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</si>
  <si>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</si>
  <si>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</si>
  <si>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</si>
  <si>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</si>
  <si>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</si>
  <si>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</si>
  <si>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</si>
  <si>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</si>
  <si>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</si>
  <si>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</si>
  <si>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</si>
  <si>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</si>
  <si>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</si>
  <si>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</si>
  <si>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</si>
  <si>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</si>
  <si>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</si>
  <si>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</si>
  <si>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</si>
  <si>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</si>
  <si>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</si>
  <si>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</si>
  <si>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</si>
  <si>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</si>
  <si>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</si>
  <si>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</si>
  <si>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</si>
  <si>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</si>
  <si>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</si>
  <si>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</si>
  <si>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</si>
  <si>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</si>
  <si>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</si>
  <si>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</si>
  <si>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</si>
  <si>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</si>
  <si>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</si>
  <si>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</si>
  <si>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</si>
  <si>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</si>
  <si>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</si>
  <si>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</si>
  <si>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</si>
  <si>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</si>
  <si>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</si>
  <si>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</si>
  <si>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</si>
  <si>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</si>
  <si>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</si>
  <si>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</si>
  <si>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</si>
  <si>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</si>
  <si>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</si>
  <si>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</si>
  <si>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</si>
  <si>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</si>
  <si>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</si>
  <si>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</si>
  <si>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</si>
  <si>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</si>
  <si>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</si>
  <si>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</si>
  <si>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</si>
  <si>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</si>
  <si>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</si>
  <si>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</si>
  <si>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</si>
  <si>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</si>
  <si>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</si>
  <si>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</si>
  <si>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</si>
  <si>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</si>
  <si>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</si>
  <si>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</si>
  <si>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</si>
  <si>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</si>
  <si>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</si>
  <si>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</si>
  <si>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</si>
  <si>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</si>
  <si>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</si>
  <si>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</si>
  <si>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</si>
  <si>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</si>
  <si>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</si>
  <si>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</si>
  <si>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</si>
  <si>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</si>
  <si>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</si>
  <si>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</si>
  <si>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</si>
  <si>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</si>
  <si>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</si>
  <si>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</si>
  <si>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</si>
  <si>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</si>
  <si>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</si>
  <si>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</si>
  <si>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</si>
  <si>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</si>
  <si>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</si>
  <si>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</si>
  <si>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</si>
  <si>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</si>
  <si>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</si>
  <si>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</si>
  <si>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</si>
  <si>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</si>
  <si>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</si>
  <si>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</si>
  <si>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</si>
  <si>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</si>
  <si>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</si>
  <si>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</si>
  <si>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</si>
  <si>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</si>
  <si>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</si>
  <si>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</si>
  <si>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</si>
  <si>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</si>
  <si>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</si>
  <si>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</si>
  <si>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</si>
  <si>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</si>
  <si>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</si>
  <si>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</si>
  <si>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</si>
  <si>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</si>
  <si>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</si>
  <si>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</si>
  <si>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</si>
  <si>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</si>
  <si>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</si>
  <si>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</si>
  <si>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</si>
  <si>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</si>
  <si>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</si>
  <si>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</si>
  <si>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</si>
  <si>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</si>
  <si>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</si>
  <si>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</si>
  <si>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</si>
  <si>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</si>
  <si>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</si>
  <si>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</si>
  <si>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</si>
  <si>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</si>
  <si>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</si>
  <si>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</si>
  <si>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</si>
  <si>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</si>
  <si>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</si>
  <si>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</si>
  <si>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</si>
  <si>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</si>
  <si>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</si>
  <si>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</si>
  <si>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</si>
  <si>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</si>
  <si>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</si>
  <si>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</si>
  <si>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</si>
  <si>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</si>
  <si>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</si>
  <si>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</si>
  <si>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</si>
  <si>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</si>
  <si>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</si>
  <si>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</si>
  <si>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</si>
  <si>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</si>
  <si>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</si>
  <si>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</si>
  <si>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</si>
  <si>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</si>
  <si>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</si>
  <si>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</si>
  <si>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</si>
  <si>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</si>
  <si>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</si>
  <si>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</si>
  <si>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</si>
  <si>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</si>
  <si>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</si>
  <si>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</si>
  <si>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</si>
  <si>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</si>
  <si>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</si>
  <si>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</si>
  <si>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</si>
  <si>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</si>
  <si>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</si>
  <si>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</si>
  <si>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</si>
  <si>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</si>
  <si>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</si>
  <si>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</si>
  <si>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</si>
  <si>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</si>
  <si>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</si>
  <si>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</si>
  <si>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</si>
  <si>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</si>
  <si>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</si>
  <si>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</si>
  <si>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</si>
  <si>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</si>
  <si>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</si>
  <si>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</si>
  <si>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</si>
  <si>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</si>
  <si>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</si>
  <si>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</si>
  <si>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</si>
  <si>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</si>
  <si>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</si>
  <si>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</si>
  <si>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</si>
  <si>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</si>
  <si>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</si>
  <si>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</si>
  <si>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</si>
  <si>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</si>
  <si>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</si>
  <si>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</si>
  <si>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</si>
  <si>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</si>
  <si>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</si>
  <si>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</si>
  <si>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</si>
  <si>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</si>
  <si>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</si>
  <si>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</si>
  <si>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</si>
  <si>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</si>
  <si>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</si>
  <si>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</si>
  <si>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</si>
  <si>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</si>
  <si>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</si>
  <si>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</si>
  <si>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</si>
  <si>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</si>
  <si>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</si>
  <si>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</si>
  <si>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</si>
  <si>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</si>
  <si>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</si>
  <si>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</si>
  <si>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</si>
  <si>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</si>
  <si>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</si>
  <si>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</si>
  <si>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</si>
  <si>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</si>
  <si>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</si>
  <si>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</si>
  <si>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</si>
  <si>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</si>
  <si>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</si>
  <si>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</si>
  <si>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</si>
  <si>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</si>
  <si>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</si>
  <si>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</si>
  <si>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</si>
  <si>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</si>
  <si>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</si>
  <si>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</si>
  <si>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</si>
  <si>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</si>
  <si>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</si>
  <si>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</si>
  <si>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</si>
  <si>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</si>
  <si>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</si>
  <si>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</si>
  <si>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</si>
  <si>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</si>
  <si>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</si>
  <si>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</si>
  <si>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</si>
  <si>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</si>
  <si>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</si>
  <si>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</si>
  <si>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</si>
  <si>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</si>
  <si>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</si>
  <si>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</si>
  <si>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</si>
  <si>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</si>
  <si>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</si>
  <si>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</si>
  <si>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</si>
  <si>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</si>
  <si>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</si>
  <si>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</si>
  <si>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</si>
  <si>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</si>
  <si>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</si>
  <si>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</si>
  <si>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</si>
  <si>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</si>
  <si>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</si>
  <si>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</si>
  <si>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</si>
  <si>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</si>
  <si>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</si>
  <si>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</si>
  <si>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</si>
  <si>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</si>
  <si>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</si>
  <si>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</si>
  <si>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</si>
  <si>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</si>
  <si>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</si>
  <si>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</si>
  <si>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</si>
  <si>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</si>
  <si>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</si>
  <si>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</si>
  <si>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</si>
  <si>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</si>
  <si>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</si>
  <si>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</si>
  <si>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</si>
  <si>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</si>
  <si>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</si>
  <si>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</si>
  <si>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</si>
  <si>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</si>
  <si>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</si>
  <si>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</si>
  <si>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</si>
  <si>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</si>
  <si>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</si>
  <si>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</si>
  <si>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</si>
  <si>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</si>
  <si>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</si>
  <si>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</si>
  <si>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</si>
  <si>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</si>
  <si>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</si>
  <si>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</si>
  <si>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</si>
  <si>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</si>
  <si>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</si>
  <si>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</si>
  <si>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</si>
  <si>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</si>
  <si>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</si>
  <si>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</si>
  <si>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</si>
  <si>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</si>
  <si>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</si>
  <si>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</si>
  <si>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</si>
  <si>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</si>
  <si>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</si>
  <si>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</si>
  <si>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</si>
  <si>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</si>
  <si>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</si>
  <si>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</si>
  <si>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</si>
  <si>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</si>
  <si>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</si>
  <si>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</si>
  <si>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</si>
  <si>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</si>
  <si>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</si>
  <si>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</si>
  <si>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</si>
  <si>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</si>
  <si>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</si>
  <si>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</si>
  <si>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</si>
  <si>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</si>
  <si>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</si>
  <si>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</si>
  <si>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</si>
  <si>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</si>
  <si>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</si>
  <si>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</si>
  <si>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</si>
  <si>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</si>
  <si>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</si>
  <si>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</si>
  <si>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</si>
  <si>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</si>
  <si>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</si>
  <si>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</si>
  <si>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</si>
  <si>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</si>
  <si>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</si>
  <si>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</si>
  <si>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</si>
  <si>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</si>
  <si>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</si>
  <si>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</si>
  <si>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</si>
  <si>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</si>
  <si>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</si>
  <si>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</si>
  <si>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</si>
  <si>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</si>
  <si>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</si>
  <si>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</si>
  <si>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</si>
  <si>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</si>
  <si>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</si>
  <si>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</si>
  <si>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</si>
  <si>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</si>
  <si>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</si>
  <si>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</si>
  <si>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</si>
  <si>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</si>
  <si>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</si>
  <si>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</si>
  <si>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</si>
  <si>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</si>
  <si>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</si>
  <si>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</si>
  <si>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</si>
  <si>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</si>
  <si>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</si>
  <si>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</si>
  <si>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</si>
  <si>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</si>
  <si>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</si>
  <si>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</si>
  <si>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</si>
  <si>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</si>
  <si>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</si>
  <si>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</si>
  <si>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</si>
  <si>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</si>
  <si>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</si>
  <si>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</si>
  <si>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</si>
  <si>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</si>
  <si>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</si>
  <si>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</si>
  <si>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</si>
  <si>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</si>
  <si>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</si>
  <si>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</si>
  <si>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</si>
  <si>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</si>
  <si>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</si>
  <si>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</si>
  <si>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</si>
  <si>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</si>
  <si>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</si>
  <si>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</si>
  <si>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</si>
  <si>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</si>
  <si>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</si>
  <si>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</si>
  <si>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</si>
  <si>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</si>
  <si>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</si>
  <si>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</si>
  <si>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</si>
  <si>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</si>
  <si>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</si>
  <si>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</si>
  <si>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</si>
  <si>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</si>
  <si>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</si>
  <si>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</si>
  <si>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</si>
  <si>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</si>
  <si>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</si>
  <si>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</si>
  <si>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</si>
  <si>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</si>
  <si>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</si>
  <si>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</si>
  <si>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</si>
  <si>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</si>
  <si>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</si>
  <si>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</si>
  <si>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</si>
  <si>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</si>
  <si>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</si>
  <si>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</si>
  <si>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</si>
  <si>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</si>
  <si>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</si>
  <si>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</si>
  <si>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</si>
  <si>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</si>
  <si>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</si>
  <si>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</si>
  <si>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</si>
  <si>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</si>
  <si>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</si>
  <si>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</si>
  <si>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</si>
  <si>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</si>
  <si>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</si>
  <si>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</si>
  <si>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</si>
  <si>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</si>
  <si>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</si>
  <si>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</si>
  <si>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</si>
  <si>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</si>
  <si>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</si>
  <si>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</si>
  <si>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</si>
  <si>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</si>
  <si>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</si>
  <si>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</si>
  <si>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</si>
  <si>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</si>
  <si>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</si>
  <si>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</si>
  <si>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</si>
  <si>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</si>
  <si>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</si>
  <si>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</si>
  <si>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</si>
  <si>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</si>
  <si>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</si>
  <si>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</si>
  <si>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</si>
  <si>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</si>
  <si>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</si>
  <si>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</si>
  <si>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</si>
  <si>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</si>
  <si>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</si>
  <si>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</si>
  <si>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</si>
  <si>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</si>
  <si>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</si>
  <si>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</si>
  <si>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</si>
  <si>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</si>
  <si>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</si>
  <si>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</si>
  <si>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</si>
  <si>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</si>
  <si>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</si>
  <si>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</si>
  <si>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</si>
  <si>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</si>
  <si>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</si>
  <si>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</si>
  <si>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</si>
  <si>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</si>
  <si>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</si>
  <si>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</si>
  <si>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</si>
  <si>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</si>
  <si>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</si>
  <si>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</si>
  <si>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</si>
  <si>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</si>
  <si>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</si>
  <si>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</si>
  <si>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</si>
  <si>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</si>
  <si>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</si>
  <si>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</si>
  <si>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</si>
  <si>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</si>
  <si>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</si>
  <si>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</si>
  <si>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</si>
  <si>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</si>
  <si>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</si>
  <si>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</si>
  <si>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</si>
  <si>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</si>
  <si>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</si>
  <si>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</si>
  <si>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</si>
  <si>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</si>
  <si>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</si>
  <si>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</si>
  <si>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</si>
  <si>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</si>
  <si>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</si>
  <si>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</si>
  <si>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</si>
  <si>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</si>
  <si>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</si>
  <si>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</si>
  <si>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</si>
  <si>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</si>
  <si>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</si>
  <si>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</si>
  <si>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</si>
  <si>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</si>
  <si>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</si>
  <si>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</si>
  <si>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</si>
  <si>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</si>
  <si>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</si>
  <si>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</si>
  <si>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</si>
  <si>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</si>
  <si>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</si>
  <si>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</si>
  <si>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</si>
  <si>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</si>
  <si>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</si>
  <si>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</si>
  <si>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</si>
  <si>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</si>
  <si>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</si>
  <si>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</si>
  <si>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</si>
  <si>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</si>
  <si>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</si>
  <si>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</si>
  <si>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</si>
  <si>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</si>
  <si>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</si>
  <si>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</si>
  <si>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</si>
  <si>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</si>
  <si>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</si>
  <si>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</si>
  <si>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</si>
  <si>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</si>
  <si>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</si>
  <si>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</si>
  <si>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</si>
  <si>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</si>
  <si>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</si>
  <si>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</si>
  <si>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</si>
  <si>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</si>
  <si>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</si>
  <si>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</si>
  <si>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</si>
  <si>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</si>
  <si>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</si>
  <si>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</si>
  <si>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</si>
  <si>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</si>
  <si>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</si>
  <si>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</si>
  <si>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</si>
  <si>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</si>
  <si>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</si>
  <si>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</si>
  <si>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</si>
  <si>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</si>
  <si>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</si>
  <si>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</si>
  <si>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</si>
  <si>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</si>
  <si>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</si>
  <si>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</si>
  <si>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</si>
  <si>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</si>
  <si>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</si>
  <si>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</si>
  <si>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</si>
  <si>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</si>
  <si>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</si>
  <si>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</si>
  <si>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</si>
  <si>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</si>
  <si>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</si>
  <si>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</si>
  <si>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</si>
  <si>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</si>
  <si>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</si>
  <si>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</si>
  <si>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</si>
  <si>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</si>
  <si>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</si>
  <si>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</si>
  <si>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</si>
  <si>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</si>
  <si>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</si>
  <si>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</si>
  <si>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</si>
  <si>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</si>
  <si>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</si>
  <si>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</si>
  <si>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</si>
  <si>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</si>
  <si>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</si>
  <si>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</si>
  <si>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</si>
  <si>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</si>
  <si>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</si>
  <si>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</si>
  <si>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</si>
  <si>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</si>
  <si>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</si>
  <si>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</si>
  <si>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</si>
  <si>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</si>
  <si>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</si>
  <si>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</si>
  <si>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</si>
  <si>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</si>
  <si>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</si>
  <si>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</si>
  <si>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</si>
  <si>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</si>
  <si>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</si>
  <si>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</si>
  <si>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</si>
  <si>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</si>
  <si>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</si>
  <si>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</si>
  <si>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</si>
  <si>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</si>
  <si>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</si>
  <si>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</si>
  <si>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</si>
  <si>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</si>
  <si>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</si>
  <si>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</si>
  <si>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</si>
  <si>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</si>
  <si>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</si>
  <si>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</si>
  <si>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</si>
  <si>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</si>
  <si>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</si>
  <si>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</si>
  <si>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</si>
  <si>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</si>
  <si>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</si>
  <si>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</si>
  <si>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</si>
  <si>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</si>
  <si>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</si>
  <si>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</si>
  <si>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</si>
  <si>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</si>
  <si>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</si>
  <si>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</si>
  <si>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</si>
  <si>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</si>
  <si>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</si>
  <si>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</si>
  <si>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</si>
  <si>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</si>
  <si>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</si>
  <si>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</si>
  <si>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</si>
  <si>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</si>
  <si>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</si>
  <si>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</si>
  <si>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</si>
  <si>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</si>
  <si>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</si>
  <si>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</si>
  <si>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</si>
  <si>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</si>
  <si>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</si>
  <si>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</si>
  <si>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</si>
  <si>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</si>
  <si>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</si>
  <si>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</si>
  <si>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</si>
  <si>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</si>
  <si>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</si>
  <si>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</si>
  <si>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</si>
  <si>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</si>
  <si>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</si>
  <si>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</si>
  <si>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</si>
  <si>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</si>
  <si>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</si>
  <si>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</si>
  <si>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</si>
  <si>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</si>
  <si>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</si>
  <si>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</si>
  <si>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</si>
  <si>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</si>
  <si>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</si>
  <si>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</si>
  <si>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</si>
  <si>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</si>
  <si>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</si>
  <si>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</si>
  <si>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</si>
  <si>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</si>
  <si>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</si>
  <si>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</si>
  <si>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</si>
  <si>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</si>
  <si>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</si>
  <si>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</si>
  <si>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</si>
  <si>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</si>
  <si>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</si>
  <si>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</si>
  <si>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</si>
  <si>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</si>
  <si>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</si>
  <si>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</si>
  <si>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</si>
  <si>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</si>
  <si>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</si>
  <si>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</si>
  <si>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</si>
  <si>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</si>
  <si>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</si>
  <si>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</si>
  <si>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</si>
  <si>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</si>
  <si>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</si>
  <si>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</si>
  <si>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</si>
  <si>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</si>
  <si>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</si>
  <si>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</si>
  <si>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</si>
  <si>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</si>
  <si>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</si>
  <si>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</si>
  <si>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</si>
  <si>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</si>
  <si>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</si>
  <si>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</si>
  <si>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</si>
  <si>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</si>
  <si>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</si>
  <si>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</si>
  <si>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</si>
  <si>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</si>
  <si>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</si>
  <si>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</si>
  <si>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</si>
  <si>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</si>
  <si>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</si>
  <si>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</si>
  <si>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</si>
  <si>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</si>
  <si>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</si>
  <si>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</si>
  <si>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</si>
  <si>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</si>
  <si>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</si>
  <si>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</si>
  <si>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</si>
  <si>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</si>
  <si>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</si>
  <si>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</si>
  <si>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</si>
  <si>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</si>
  <si>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</si>
  <si>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</si>
  <si>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</si>
  <si>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</si>
  <si>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</si>
  <si>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</si>
  <si>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</si>
  <si>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</si>
  <si>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</si>
  <si>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</si>
  <si>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</si>
  <si>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</si>
  <si>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</si>
  <si>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</si>
  <si>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</si>
  <si>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</si>
  <si>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</si>
  <si>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</si>
  <si>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</si>
  <si>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</si>
  <si>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</si>
  <si>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</si>
  <si>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</si>
  <si>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</si>
  <si>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</si>
  <si>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</si>
  <si>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</si>
  <si>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</si>
  <si>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</si>
  <si>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</si>
  <si>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</si>
  <si>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</si>
  <si>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</si>
  <si>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</si>
  <si>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</si>
  <si>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</si>
  <si>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</si>
  <si>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</si>
  <si>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</si>
  <si>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</si>
  <si>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</si>
  <si>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</si>
  <si>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</si>
  <si>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</si>
  <si>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</si>
  <si>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</si>
  <si>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</si>
  <si>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</si>
  <si>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</si>
  <si>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</si>
  <si>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</si>
  <si>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</si>
  <si>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</si>
  <si>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</si>
  <si>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</si>
  <si>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</si>
  <si>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</si>
  <si>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</si>
  <si>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</si>
  <si>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</si>
  <si>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</si>
  <si>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</si>
  <si>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</si>
  <si>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</si>
  <si>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</si>
  <si>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</si>
  <si>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</si>
  <si>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</si>
  <si>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</si>
  <si>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</si>
  <si>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</si>
  <si>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</si>
  <si>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</si>
  <si>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</si>
  <si>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</si>
  <si>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</si>
  <si>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</si>
  <si>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</si>
  <si>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</si>
  <si>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</si>
  <si>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</si>
  <si>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</si>
  <si>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</si>
  <si>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</si>
  <si>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</si>
  <si>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</si>
  <si>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</si>
  <si>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</si>
  <si>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</si>
  <si>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</si>
  <si>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</si>
  <si>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</si>
  <si>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</si>
  <si>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</si>
  <si>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</si>
  <si>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</si>
  <si>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</si>
  <si>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</si>
  <si>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</si>
  <si>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</si>
  <si>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</si>
  <si>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</si>
  <si>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</si>
  <si>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</si>
  <si>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</si>
  <si>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</si>
  <si>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</si>
  <si>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</si>
  <si>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</si>
  <si>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</si>
  <si>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</si>
  <si>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</si>
  <si>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</si>
  <si>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</si>
  <si>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</si>
  <si>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</si>
  <si>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</si>
  <si>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</si>
  <si>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</si>
  <si>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</si>
  <si>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</si>
  <si>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</si>
  <si>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</si>
  <si>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</si>
  <si>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</si>
  <si>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</si>
  <si>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</si>
  <si>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</si>
  <si>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</si>
  <si>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</si>
  <si>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</si>
  <si>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</si>
  <si>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</si>
  <si>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</si>
  <si>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</si>
  <si>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</si>
  <si>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</si>
  <si>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</si>
  <si>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</si>
  <si>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</si>
  <si>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</si>
  <si>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</si>
  <si>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</si>
  <si>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</si>
  <si>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</si>
  <si>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</si>
  <si>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</si>
  <si>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</si>
  <si>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</si>
  <si>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</si>
  <si>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</si>
  <si>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</si>
  <si>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</si>
  <si>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</si>
  <si>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</si>
  <si>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</si>
  <si>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</si>
  <si>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</si>
  <si>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</si>
  <si>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</si>
  <si>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</si>
  <si>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</si>
  <si>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</si>
  <si>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</si>
  <si>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</si>
  <si>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</si>
  <si>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</si>
  <si>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</si>
  <si>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</si>
  <si>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</si>
  <si>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</si>
  <si>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</si>
  <si>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</si>
  <si>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</si>
  <si>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</si>
  <si>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</si>
  <si>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</si>
  <si>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</si>
  <si>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</si>
  <si>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</si>
  <si>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</si>
  <si>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</si>
  <si>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</si>
  <si>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</si>
  <si>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</si>
  <si>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</si>
  <si>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</si>
  <si>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</si>
  <si>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</si>
  <si>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</si>
  <si>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</si>
  <si>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</si>
  <si>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</si>
  <si>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</si>
  <si>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</si>
  <si>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</si>
  <si>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</si>
  <si>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</si>
  <si>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</si>
  <si>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</si>
  <si>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</si>
  <si>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</si>
  <si>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</si>
  <si>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</si>
  <si>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</si>
  <si>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</si>
  <si>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</si>
  <si>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</si>
  <si>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</si>
  <si>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</si>
  <si>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</si>
  <si>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</si>
  <si>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</si>
  <si>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</si>
  <si>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</si>
  <si>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</si>
  <si>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</si>
  <si>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</si>
  <si>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</si>
  <si>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</si>
  <si>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</si>
  <si>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</si>
  <si>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</si>
  <si>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</si>
  <si>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</si>
  <si>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</si>
  <si>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</si>
  <si>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</si>
  <si>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</si>
  <si>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</si>
  <si>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</si>
  <si>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</si>
  <si>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</si>
  <si>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</si>
  <si>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</si>
  <si>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</si>
  <si>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</si>
  <si>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</si>
  <si>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</si>
  <si>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</si>
  <si>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</si>
  <si>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</si>
  <si>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</si>
  <si>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</si>
  <si>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</si>
  <si>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</si>
  <si>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</si>
  <si>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</si>
  <si>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</si>
  <si>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</si>
  <si>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</si>
  <si>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</si>
  <si>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</si>
  <si>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</si>
  <si>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</si>
  <si>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</si>
  <si>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</si>
  <si>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</si>
  <si>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</si>
  <si>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</si>
  <si>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</si>
  <si>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</si>
  <si>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</si>
  <si>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</si>
  <si>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</si>
  <si>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</si>
  <si>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</si>
  <si>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</si>
  <si>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</si>
  <si>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</si>
  <si>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</si>
  <si>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</si>
  <si>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</si>
  <si>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</si>
  <si>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</si>
  <si>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</si>
  <si>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</si>
  <si>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</si>
  <si>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</si>
  <si>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</si>
  <si>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</si>
  <si>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</si>
  <si>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</si>
  <si>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</si>
  <si>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</si>
  <si>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</si>
  <si>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</si>
  <si>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</si>
  <si>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</si>
  <si>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</si>
  <si>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</si>
  <si>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</si>
  <si>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</si>
  <si>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</si>
  <si>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</si>
  <si>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</si>
  <si>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</si>
  <si>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</si>
  <si>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</si>
  <si>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</si>
  <si>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</si>
  <si>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</si>
  <si>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</si>
  <si>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</si>
  <si>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</si>
  <si>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</si>
  <si>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</si>
  <si>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</si>
  <si>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</si>
  <si>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</si>
  <si>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</si>
  <si>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</si>
  <si>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</si>
  <si>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</si>
  <si>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</si>
  <si>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</si>
  <si>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</si>
  <si>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</si>
  <si>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</si>
  <si>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</si>
  <si>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</si>
  <si>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</si>
  <si>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</si>
  <si>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</si>
  <si>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</si>
  <si>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</si>
  <si>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</si>
  <si>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</si>
  <si>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</si>
  <si>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</si>
  <si>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</si>
  <si>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</si>
  <si>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</si>
  <si>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</si>
  <si>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</si>
  <si>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</si>
  <si>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</si>
  <si>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</si>
  <si>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</si>
  <si>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</si>
  <si>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</si>
  <si>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</si>
  <si>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</si>
  <si>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</si>
  <si>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</si>
  <si>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</si>
  <si>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</si>
  <si>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</si>
  <si>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</si>
  <si>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</si>
  <si>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</si>
  <si>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</si>
  <si>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</si>
  <si>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</si>
  <si>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</si>
  <si>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</si>
  <si>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</si>
  <si>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</si>
  <si>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</si>
  <si>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</si>
  <si>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</si>
  <si>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</si>
  <si>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</si>
  <si>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</si>
  <si>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</si>
  <si>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</si>
  <si>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</si>
  <si>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</si>
  <si>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</si>
  <si>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</si>
  <si>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</si>
  <si>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</si>
  <si>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</si>
  <si>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</si>
  <si>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</si>
  <si>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</si>
  <si>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</si>
  <si>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</si>
  <si>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</si>
  <si>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</si>
  <si>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</si>
  <si>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</si>
  <si>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</si>
  <si>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</si>
  <si>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</si>
  <si>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</si>
  <si>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</si>
  <si>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</si>
  <si>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</si>
  <si>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</si>
  <si>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</si>
  <si>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</si>
  <si>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</si>
  <si>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</si>
  <si>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</si>
  <si>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</si>
  <si>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</si>
  <si>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</si>
  <si>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</si>
  <si>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</si>
  <si>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</si>
  <si>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</si>
  <si>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</si>
  <si>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</si>
  <si>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</si>
  <si>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</si>
  <si>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</si>
  <si>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</si>
  <si>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</si>
  <si>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</si>
  <si>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</si>
  <si>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</si>
  <si>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</si>
  <si>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</si>
  <si>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</si>
  <si>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</si>
  <si>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</si>
  <si>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</si>
  <si>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</si>
  <si>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</si>
  <si>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</si>
  <si>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</si>
  <si>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</si>
  <si>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</si>
  <si>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</si>
  <si>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</si>
  <si>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</si>
  <si>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</si>
  <si>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</si>
  <si>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</si>
  <si>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</si>
  <si>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</si>
  <si>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</si>
  <si>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</si>
  <si>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</si>
  <si>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</si>
  <si>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</si>
  <si>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</si>
  <si>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</si>
  <si>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</si>
  <si>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</si>
  <si>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</si>
  <si>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</si>
  <si>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</si>
  <si>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</si>
  <si>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</si>
  <si>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</si>
  <si>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</si>
  <si>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</si>
  <si>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</si>
  <si>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</si>
  <si>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</si>
  <si>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</si>
  <si>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</si>
  <si>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</si>
  <si>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</si>
  <si>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</si>
  <si>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</si>
  <si>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</si>
  <si>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</si>
  <si>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</si>
  <si>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</si>
  <si>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</si>
  <si>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</si>
  <si>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</si>
  <si>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</si>
  <si>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</si>
  <si>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</si>
  <si>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</si>
  <si>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</si>
  <si>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</si>
  <si>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</si>
  <si>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</si>
  <si>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</si>
  <si>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</si>
  <si>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</si>
  <si>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</si>
  <si>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</si>
  <si>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</si>
  <si>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</si>
  <si>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</si>
  <si>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</si>
  <si>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</si>
  <si>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</si>
  <si>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</si>
  <si>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</si>
  <si>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</si>
  <si>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</si>
  <si>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</si>
  <si>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</si>
  <si>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</si>
  <si>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</si>
  <si>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</si>
  <si>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</si>
  <si>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</si>
  <si>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</si>
  <si>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</si>
  <si>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</si>
  <si>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</si>
  <si>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</si>
  <si>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</si>
  <si>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</si>
  <si>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</si>
  <si>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</si>
  <si>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</si>
  <si>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</si>
  <si>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</si>
  <si>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</si>
  <si>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</si>
  <si>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</si>
  <si>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</si>
  <si>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</si>
  <si>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</si>
  <si>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</si>
  <si>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</si>
  <si>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</si>
  <si>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</si>
  <si>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</si>
  <si>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</si>
  <si>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</si>
  <si>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</si>
  <si>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</si>
  <si>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</si>
  <si>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</si>
  <si>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</si>
  <si>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</si>
  <si>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</si>
  <si>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</si>
  <si>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</si>
  <si>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</si>
  <si>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</si>
  <si>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</si>
  <si>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</si>
  <si>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</si>
  <si>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</si>
  <si>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</si>
  <si>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</si>
  <si>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</si>
  <si>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</si>
  <si>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</si>
  <si>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</si>
  <si>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</si>
  <si>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</si>
  <si>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</si>
  <si>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</si>
  <si>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</si>
  <si>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</si>
  <si>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</si>
  <si>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</si>
  <si>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</si>
  <si>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</si>
  <si>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</si>
  <si>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</si>
  <si>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</si>
  <si>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</si>
  <si>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</si>
  <si>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</si>
  <si>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</si>
  <si>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</si>
  <si>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</si>
  <si>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</si>
  <si>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</si>
  <si>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</si>
  <si>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</si>
  <si>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</si>
  <si>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</si>
  <si>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</si>
  <si>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</si>
  <si>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</si>
  <si>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</si>
  <si>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</si>
  <si>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</si>
  <si>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</si>
  <si>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</si>
  <si>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</si>
  <si>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</si>
  <si>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</si>
  <si>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</si>
  <si>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</si>
  <si>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</si>
  <si>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</si>
  <si>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</si>
  <si>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</si>
  <si>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</si>
  <si>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</si>
  <si>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</si>
  <si>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</si>
  <si>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</si>
  <si>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</si>
  <si>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</si>
  <si>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</si>
  <si>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</si>
  <si>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</si>
  <si>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</si>
  <si>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</si>
  <si>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</si>
  <si>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</si>
  <si>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</si>
  <si>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</si>
  <si>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</si>
  <si>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</si>
  <si>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</si>
  <si>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</si>
  <si>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</si>
  <si>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</si>
  <si>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</si>
  <si>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</si>
  <si>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</si>
  <si>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</si>
  <si>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</si>
  <si>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</si>
  <si>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</si>
  <si>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</si>
  <si>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</si>
  <si>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</si>
  <si>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</si>
  <si>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</si>
  <si>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</si>
  <si>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</si>
  <si>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</si>
  <si>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</si>
  <si>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</si>
  <si>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</si>
  <si>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</si>
  <si>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</si>
  <si>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</si>
  <si>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</si>
  <si>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</si>
  <si>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</si>
  <si>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</si>
  <si>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</si>
  <si>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</si>
  <si>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</si>
  <si>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</si>
  <si>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</si>
  <si>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</si>
  <si>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</si>
  <si>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</si>
  <si>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</si>
  <si>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</si>
  <si>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</si>
  <si>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</si>
  <si>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</si>
  <si>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</si>
  <si>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</si>
  <si>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</si>
  <si>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</si>
  <si>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</si>
  <si>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</si>
  <si>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</si>
  <si>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</si>
  <si>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</si>
  <si>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</si>
  <si>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</si>
  <si>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</si>
  <si>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</si>
  <si>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</si>
  <si>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</si>
  <si>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</si>
  <si>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</si>
  <si>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</si>
  <si>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</si>
  <si>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</si>
  <si>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</si>
  <si>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</si>
  <si>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</si>
  <si>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</si>
  <si>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</si>
  <si>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</si>
  <si>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</si>
  <si>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</si>
  <si>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</si>
  <si>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</si>
  <si>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</si>
  <si>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</si>
  <si>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</si>
  <si>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</si>
  <si>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</si>
  <si>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</si>
  <si>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</si>
  <si>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</si>
  <si>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</si>
  <si>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</si>
  <si>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</si>
  <si>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</si>
  <si>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</si>
  <si>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</si>
  <si>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</si>
  <si>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</si>
  <si>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</si>
  <si>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</si>
  <si>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</si>
  <si>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</si>
  <si>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</si>
  <si>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</si>
  <si>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</si>
  <si>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</si>
  <si>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</si>
  <si>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</si>
  <si>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</si>
  <si>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</si>
  <si>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</si>
  <si>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</si>
  <si>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</si>
  <si>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</si>
  <si>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</si>
  <si>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</si>
  <si>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</si>
  <si>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</si>
  <si>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</si>
  <si>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</si>
  <si>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</si>
  <si>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</si>
  <si>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</si>
  <si>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</si>
  <si>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</si>
  <si>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</si>
  <si>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</si>
  <si>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</si>
  <si>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</si>
  <si>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</si>
  <si>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</si>
  <si>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</si>
  <si>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</si>
  <si>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</si>
  <si>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</si>
  <si>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</si>
  <si>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</si>
  <si>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</si>
  <si>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</si>
  <si>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</si>
  <si>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</si>
  <si>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</si>
  <si>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</si>
  <si>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</si>
  <si>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</si>
  <si>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</si>
  <si>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</si>
  <si>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</si>
  <si>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</si>
  <si>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</si>
  <si>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</si>
  <si>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</si>
  <si>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</si>
  <si>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</si>
  <si>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</si>
  <si>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</si>
  <si>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</si>
  <si>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</si>
  <si>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</si>
  <si>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</si>
  <si>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</si>
  <si>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</si>
  <si>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</si>
  <si>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</si>
  <si>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</si>
  <si>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</si>
  <si>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</si>
  <si>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</si>
  <si>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</si>
  <si>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</si>
  <si>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</si>
  <si>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</si>
  <si>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</si>
  <si>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</si>
  <si>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</si>
  <si>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</si>
  <si>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</si>
  <si>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</si>
  <si>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</si>
  <si>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</si>
  <si>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</si>
  <si>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</si>
  <si>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</si>
  <si>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</si>
  <si>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</si>
  <si>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</si>
  <si>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</si>
  <si>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</si>
  <si>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</si>
  <si>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</si>
  <si>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</si>
  <si>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</si>
  <si>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</si>
  <si>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</si>
  <si>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</si>
  <si>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</si>
  <si>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</si>
  <si>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</si>
  <si>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</si>
  <si>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</si>
  <si>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</si>
  <si>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</si>
  <si>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</si>
  <si>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</si>
  <si>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</si>
  <si>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</si>
  <si>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</si>
  <si>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</si>
  <si>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</si>
  <si>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</si>
  <si>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</si>
  <si>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</si>
  <si>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</si>
  <si>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</si>
  <si>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</si>
  <si>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</si>
  <si>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</si>
  <si>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</si>
  <si>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</si>
  <si>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</si>
  <si>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</si>
  <si>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</si>
  <si>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</si>
  <si>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</si>
  <si>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</si>
  <si>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</si>
  <si>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</si>
  <si>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</si>
  <si>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</si>
  <si>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</si>
  <si>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</si>
  <si>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</si>
  <si>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</si>
  <si>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</si>
  <si>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</si>
  <si>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</si>
  <si>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</si>
  <si>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</si>
  <si>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</si>
  <si>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</si>
  <si>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</si>
  <si>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</si>
  <si>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</si>
  <si>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</si>
  <si>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</si>
  <si>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</si>
  <si>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</si>
  <si>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</si>
  <si>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</si>
  <si>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</si>
  <si>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</si>
  <si>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</si>
  <si>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</si>
  <si>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</si>
  <si>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</si>
  <si>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</si>
  <si>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</si>
  <si>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</si>
  <si>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</si>
  <si>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</si>
  <si>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</si>
  <si>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</si>
  <si>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</si>
  <si>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</si>
  <si>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</si>
  <si>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</si>
  <si>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</si>
  <si>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</si>
  <si>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</si>
  <si>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</si>
  <si>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</si>
  <si>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</si>
  <si>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</si>
  <si>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</si>
  <si>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</si>
  <si>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</si>
  <si>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</si>
  <si>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</si>
  <si>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</si>
  <si>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</si>
  <si>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</si>
  <si>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</si>
  <si>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</si>
  <si>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</si>
  <si>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</si>
  <si>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</si>
  <si>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</si>
  <si>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</si>
  <si>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</si>
  <si>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</si>
  <si>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</si>
  <si>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</si>
  <si>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</si>
  <si>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</si>
  <si>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</si>
  <si>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</si>
  <si>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</si>
  <si>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</si>
  <si>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</si>
  <si>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</si>
  <si>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</si>
  <si>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</si>
  <si>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</si>
  <si>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</si>
  <si>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</si>
  <si>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</si>
  <si>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</si>
  <si>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</si>
  <si>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</si>
  <si>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</si>
  <si>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</si>
  <si>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</si>
  <si>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</si>
  <si>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</si>
  <si>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</si>
  <si>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</si>
  <si>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</si>
  <si>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</si>
  <si>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</si>
  <si>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</si>
  <si>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</si>
  <si>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</si>
  <si>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</si>
  <si>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</si>
  <si>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</si>
  <si>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</si>
  <si>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</si>
  <si>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</si>
  <si>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</si>
  <si>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</si>
  <si>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</si>
  <si>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</si>
  <si>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</si>
  <si>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</si>
  <si>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</si>
  <si>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</si>
  <si>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</si>
  <si>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</si>
  <si>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</si>
  <si>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</si>
  <si>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</si>
  <si>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</si>
  <si>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</si>
  <si>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</si>
  <si>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</si>
  <si>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</si>
  <si>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</si>
  <si>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</si>
  <si>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</si>
  <si>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</si>
  <si>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</si>
  <si>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</si>
  <si>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</si>
  <si>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</si>
  <si>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</si>
  <si>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</si>
  <si>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</si>
  <si>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</si>
  <si>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</si>
  <si>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</si>
  <si>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</si>
  <si>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</si>
  <si>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</si>
  <si>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</si>
  <si>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</si>
  <si>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</si>
  <si>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</si>
  <si>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</si>
  <si>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</si>
  <si>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</si>
  <si>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</si>
  <si>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</si>
  <si>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</si>
  <si>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</si>
  <si>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</si>
  <si>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</si>
  <si>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</si>
  <si>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</si>
  <si>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</si>
  <si>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</si>
  <si>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</si>
  <si>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</si>
  <si>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</si>
  <si>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</si>
  <si>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</si>
  <si>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</si>
  <si>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</si>
  <si>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</si>
  <si>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</si>
  <si>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</si>
  <si>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</si>
  <si>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</si>
  <si>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</si>
  <si>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</si>
  <si>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</si>
  <si>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</si>
  <si>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</si>
  <si>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</si>
  <si>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</si>
  <si>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</si>
  <si>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</si>
  <si>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</si>
  <si>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</si>
  <si>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</si>
  <si>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</si>
  <si>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</si>
  <si>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</si>
  <si>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</si>
  <si>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</si>
  <si>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</si>
  <si>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</si>
  <si>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</si>
  <si>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</si>
  <si>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</si>
  <si>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</si>
  <si>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</si>
  <si>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</si>
  <si>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</si>
  <si>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</si>
  <si>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</si>
  <si>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</si>
  <si>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</si>
  <si>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</si>
  <si>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</si>
  <si>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</si>
  <si>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</si>
  <si>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</si>
  <si>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</si>
  <si>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</si>
  <si>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</si>
  <si>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</si>
  <si>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</si>
  <si>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</si>
  <si>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</si>
  <si>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</si>
  <si>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</si>
  <si>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</si>
  <si>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</si>
  <si>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</si>
  <si>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</si>
  <si>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</si>
  <si>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</si>
  <si>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</si>
  <si>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</si>
  <si>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</si>
  <si>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</si>
  <si>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</si>
  <si>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</si>
  <si>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</si>
  <si>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</si>
  <si>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</si>
  <si>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</si>
  <si>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</si>
  <si>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</si>
  <si>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</si>
  <si>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</si>
  <si>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</si>
  <si>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</si>
  <si>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</si>
  <si>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</si>
  <si>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</si>
  <si>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</si>
  <si>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</si>
  <si>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</si>
  <si>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</si>
  <si>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</si>
  <si>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</si>
  <si>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</si>
  <si>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</si>
  <si>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</si>
  <si>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</si>
  <si>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</si>
  <si>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</si>
  <si>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</si>
  <si>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</si>
  <si>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</si>
  <si>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</si>
  <si>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</si>
  <si>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</si>
  <si>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</si>
  <si>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</si>
  <si>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</si>
  <si>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</si>
  <si>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</si>
  <si>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</si>
  <si>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</si>
  <si>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</si>
  <si>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</si>
  <si>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</si>
  <si>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</si>
  <si>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</si>
  <si>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</si>
  <si>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</si>
  <si>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</si>
  <si>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</si>
  <si>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</si>
  <si>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</si>
  <si>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</si>
  <si>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</si>
  <si>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</si>
  <si>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</si>
  <si>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</si>
  <si>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</si>
  <si>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</si>
  <si>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</si>
  <si>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</si>
  <si>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</si>
  <si>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</si>
  <si>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</si>
  <si>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</si>
  <si>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</si>
  <si>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</si>
  <si>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</si>
  <si>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</si>
  <si>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</si>
  <si>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</si>
  <si>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</si>
  <si>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</si>
  <si>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</si>
  <si>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</si>
  <si>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</si>
  <si>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</si>
  <si>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</si>
  <si>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</si>
  <si>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</si>
  <si>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</si>
  <si>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</si>
  <si>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</si>
  <si>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</si>
  <si>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</si>
  <si>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</si>
  <si>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</si>
  <si>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</si>
  <si>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</si>
  <si>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</si>
  <si>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</si>
  <si>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</si>
  <si>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</si>
  <si>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</si>
  <si>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</si>
  <si>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</si>
  <si>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</si>
  <si>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</si>
  <si>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</si>
  <si>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</si>
  <si>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</si>
  <si>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</si>
  <si>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</si>
  <si>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</si>
  <si>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</si>
  <si>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</si>
  <si>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</si>
  <si>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</si>
  <si>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</si>
  <si>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</si>
  <si>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</si>
  <si>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</si>
  <si>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</si>
  <si>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</si>
  <si>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</si>
  <si>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</si>
  <si>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</si>
  <si>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</si>
  <si>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</si>
  <si>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</si>
  <si>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</si>
  <si>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</si>
  <si>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</si>
  <si>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</si>
  <si>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</si>
  <si>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</si>
  <si>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</si>
  <si>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</si>
  <si>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</si>
  <si>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</si>
  <si>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</si>
  <si>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</si>
  <si>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</si>
  <si>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</si>
  <si>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</si>
  <si>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</si>
  <si>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</si>
  <si>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</si>
  <si>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</si>
  <si>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</si>
  <si>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</si>
  <si>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</si>
  <si>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</si>
  <si>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</si>
  <si>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</si>
  <si>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</si>
  <si>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</si>
  <si>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</si>
  <si>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</si>
  <si>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</si>
  <si>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</si>
  <si>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</si>
  <si>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</si>
  <si>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</si>
  <si>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</si>
  <si>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</si>
  <si>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</si>
  <si>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</si>
  <si>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</si>
  <si>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</si>
  <si>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</si>
  <si>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</si>
  <si>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</si>
  <si>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</si>
  <si>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</si>
  <si>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</si>
  <si>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</si>
  <si>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</si>
  <si>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</si>
  <si>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</si>
  <si>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</si>
  <si>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</si>
  <si>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</si>
  <si>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</si>
  <si>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</si>
  <si>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</si>
  <si>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</si>
  <si>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</si>
  <si>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</si>
  <si>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</si>
  <si>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</si>
  <si>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</si>
  <si>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</si>
  <si>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</si>
  <si>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</si>
  <si>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</si>
  <si>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</si>
  <si>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</si>
  <si>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</si>
  <si>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</si>
  <si>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</si>
  <si>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</si>
  <si>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</si>
  <si>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</si>
  <si>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</si>
  <si>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</si>
  <si>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</si>
  <si>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</si>
  <si>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</si>
  <si>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</si>
  <si>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</si>
  <si>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</si>
  <si>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</si>
  <si>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</si>
  <si>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</si>
  <si>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</si>
  <si>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</si>
  <si>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</si>
  <si>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</si>
  <si>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</si>
  <si>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</si>
  <si>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</si>
  <si>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</si>
  <si>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</si>
  <si>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</si>
  <si>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</si>
  <si>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</si>
  <si>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</si>
  <si>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</si>
  <si>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</si>
  <si>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</si>
  <si>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</si>
  <si>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</si>
  <si>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</si>
  <si>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</si>
  <si>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</si>
  <si>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</si>
  <si>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</si>
  <si>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</si>
  <si>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</si>
  <si>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</si>
  <si>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</si>
  <si>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</si>
  <si>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</si>
  <si>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</si>
  <si>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</si>
  <si>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</si>
  <si>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</si>
  <si>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</si>
  <si>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</si>
  <si>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</si>
  <si>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</si>
  <si>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</si>
  <si>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</si>
  <si>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</si>
  <si>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</si>
  <si>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</si>
  <si>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</si>
  <si>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</si>
  <si>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</si>
  <si>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</si>
  <si>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</si>
  <si>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</si>
  <si>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</si>
  <si>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</si>
  <si>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</si>
  <si>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</si>
  <si>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</si>
  <si>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</si>
  <si>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</si>
  <si>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</si>
  <si>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</si>
  <si>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</si>
  <si>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</si>
  <si>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</si>
  <si>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</si>
  <si>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</si>
  <si>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</si>
  <si>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</si>
  <si>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</si>
  <si>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</si>
  <si>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</si>
  <si>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</si>
  <si>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</si>
  <si>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</si>
  <si>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</si>
  <si>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</si>
  <si>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</si>
  <si>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</si>
  <si>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</si>
  <si>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</si>
  <si>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</si>
  <si>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</si>
  <si>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</si>
  <si>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</si>
  <si>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</si>
  <si>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</si>
  <si>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</si>
  <si>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</si>
  <si>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</si>
  <si>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</si>
  <si>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</si>
  <si>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</si>
  <si>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</si>
  <si>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</si>
  <si>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</si>
  <si>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</si>
  <si>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</si>
  <si>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</si>
  <si>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</si>
  <si>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</si>
  <si>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</si>
  <si>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</si>
  <si>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</si>
  <si>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</si>
  <si>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</si>
  <si>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</si>
  <si>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</si>
  <si>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</si>
  <si>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</si>
  <si>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</si>
  <si>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</si>
  <si>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</si>
  <si>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</si>
  <si>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</si>
  <si>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</si>
  <si>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</si>
  <si>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</si>
  <si>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</si>
  <si>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</si>
  <si>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</si>
  <si>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</si>
  <si>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</si>
  <si>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</si>
  <si>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</si>
  <si>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</si>
  <si>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</si>
  <si>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</si>
  <si>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</si>
  <si>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</si>
  <si>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</si>
  <si>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</si>
  <si>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</si>
  <si>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</si>
  <si>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</si>
  <si>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</si>
  <si>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</si>
  <si>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</si>
  <si>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</si>
  <si>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</si>
  <si>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</si>
  <si>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</si>
  <si>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</si>
  <si>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</si>
  <si>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</si>
  <si>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</si>
  <si>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</si>
  <si>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</si>
  <si>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</si>
  <si>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</si>
  <si>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</si>
  <si>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</si>
  <si>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</si>
  <si>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</si>
  <si>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</si>
  <si>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</si>
  <si>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</si>
  <si>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</si>
  <si>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</si>
  <si>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</si>
  <si>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</si>
  <si>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</si>
  <si>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</si>
  <si>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</si>
  <si>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</si>
  <si>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</si>
  <si>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</si>
  <si>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</si>
  <si>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</si>
  <si>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</si>
  <si>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</si>
  <si>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</si>
  <si>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</si>
  <si>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</si>
  <si>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</si>
  <si>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</si>
  <si>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</si>
  <si>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</si>
  <si>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</si>
  <si>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</si>
  <si>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</si>
  <si>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</si>
  <si>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</si>
  <si>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</si>
  <si>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</si>
  <si>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</si>
  <si>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</si>
  <si>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</si>
  <si>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</si>
  <si>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</si>
  <si>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</si>
  <si>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</si>
  <si>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</si>
  <si>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</si>
  <si>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</si>
  <si>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</si>
  <si>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</si>
  <si>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</si>
  <si>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</si>
  <si>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</si>
  <si>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</si>
  <si>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</si>
  <si>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</si>
  <si>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</si>
  <si>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</si>
  <si>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</si>
  <si>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</si>
  <si>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</si>
  <si>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</si>
  <si>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</si>
  <si>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</si>
  <si>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</si>
  <si>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</si>
  <si>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</si>
  <si>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</si>
  <si>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</si>
  <si>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</si>
  <si>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</si>
  <si>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</si>
  <si>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</si>
  <si>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</si>
  <si>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</si>
  <si>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</si>
  <si>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</si>
  <si>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</si>
  <si>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</si>
  <si>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</si>
  <si>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</si>
  <si>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</si>
  <si>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</si>
  <si>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</si>
  <si>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</si>
  <si>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</si>
  <si>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</si>
  <si>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</si>
  <si>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</si>
  <si>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</si>
  <si>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</si>
  <si>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</si>
  <si>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</si>
  <si>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</si>
  <si>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</si>
  <si>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</si>
  <si>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</si>
  <si>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</si>
  <si>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</si>
  <si>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</si>
  <si>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</si>
  <si>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</si>
  <si>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</si>
  <si>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</si>
  <si>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</si>
  <si>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</si>
  <si>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</si>
  <si>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</si>
  <si>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</si>
  <si>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</si>
  <si>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</si>
  <si>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</si>
  <si>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</si>
  <si>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</si>
  <si>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</si>
  <si>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</si>
  <si>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</si>
  <si>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</si>
  <si>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</si>
  <si>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</si>
  <si>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</si>
  <si>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</si>
  <si>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</si>
  <si>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</si>
  <si>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</si>
  <si>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</si>
  <si>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</si>
  <si>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</si>
  <si>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</si>
  <si>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</si>
  <si>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</si>
  <si>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</si>
  <si>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</si>
  <si>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</si>
  <si>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</si>
  <si>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</si>
  <si>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</si>
  <si>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</si>
  <si>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</si>
  <si>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</si>
  <si>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</si>
  <si>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</si>
  <si>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</si>
  <si>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</si>
  <si>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</si>
  <si>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</si>
  <si>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</si>
  <si>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</si>
  <si>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</si>
  <si>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</si>
  <si>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</si>
  <si>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</si>
  <si>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</si>
  <si>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</si>
  <si>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</si>
  <si>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</si>
  <si>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</si>
  <si>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</si>
  <si>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</si>
  <si>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</si>
  <si>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</si>
  <si>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</si>
  <si>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</si>
  <si>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</si>
  <si>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</si>
  <si>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</si>
  <si>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</si>
  <si>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</si>
  <si>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</si>
  <si>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</si>
  <si>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</si>
  <si>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</si>
  <si>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</si>
  <si>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</si>
  <si>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</si>
  <si>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</si>
  <si>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</si>
  <si>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</si>
  <si>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</si>
  <si>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</si>
  <si>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</si>
  <si>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</si>
  <si>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</si>
  <si>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</si>
  <si>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</si>
  <si>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</si>
  <si>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</si>
  <si>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</si>
  <si>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</si>
  <si>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</si>
  <si>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</si>
  <si>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</si>
  <si>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</si>
  <si>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</si>
  <si>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</si>
  <si>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</si>
  <si>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</si>
  <si>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</si>
  <si>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</si>
  <si>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</si>
  <si>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</si>
  <si>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</si>
  <si>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</si>
  <si>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</si>
  <si>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</si>
  <si>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</si>
  <si>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</si>
  <si>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</si>
  <si>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</si>
  <si>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</si>
  <si>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</si>
  <si>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</si>
  <si>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</si>
  <si>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</si>
  <si>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</si>
  <si>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</si>
  <si>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</si>
  <si>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</si>
  <si>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</si>
  <si>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</si>
  <si>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</si>
  <si>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</si>
  <si>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</si>
  <si>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</si>
  <si>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</si>
  <si>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</si>
  <si>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</si>
  <si>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</si>
  <si>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</si>
  <si>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</si>
  <si>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</si>
  <si>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</si>
  <si>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</si>
  <si>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</si>
  <si>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</si>
  <si>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</si>
  <si>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</si>
  <si>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</si>
  <si>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</si>
  <si>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</si>
  <si>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</si>
  <si>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</si>
  <si>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</si>
  <si>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</si>
  <si>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</si>
  <si>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</si>
  <si>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</si>
  <si>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</si>
  <si>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</si>
  <si>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</si>
  <si>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</si>
  <si>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</si>
  <si>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</si>
  <si>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</si>
  <si>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</si>
  <si>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</si>
  <si>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</si>
  <si>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</si>
  <si>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</si>
  <si>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</si>
  <si>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</si>
  <si>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</si>
  <si>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</si>
  <si>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</si>
  <si>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</si>
  <si>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</si>
  <si>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</si>
  <si>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</si>
  <si>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</si>
  <si>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</si>
  <si>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</si>
  <si>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</si>
  <si>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</si>
  <si>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</si>
  <si>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</si>
  <si>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</si>
  <si>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</si>
  <si>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</si>
  <si>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</si>
  <si>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</si>
  <si>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</si>
  <si>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</si>
  <si>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</si>
  <si>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</si>
  <si>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</si>
  <si>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</si>
  <si>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</si>
  <si>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</si>
  <si>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</si>
  <si>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</si>
  <si>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</si>
  <si>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</si>
  <si>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</si>
  <si>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</si>
  <si>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</si>
  <si>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</si>
  <si>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</si>
  <si>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</si>
  <si>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</si>
  <si>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</si>
  <si>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</si>
  <si>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</si>
  <si>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</si>
  <si>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</si>
  <si>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</si>
  <si>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</si>
  <si>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</si>
  <si>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</si>
  <si>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</si>
  <si>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</si>
  <si>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</si>
  <si>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</si>
  <si>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</si>
  <si>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</si>
  <si>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</si>
  <si>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</si>
  <si>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</si>
  <si>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</si>
  <si>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</si>
  <si>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</si>
  <si>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</si>
  <si>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</si>
  <si>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</si>
  <si>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</si>
  <si>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</si>
  <si>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</si>
  <si>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</si>
  <si>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</si>
  <si>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</si>
  <si>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</si>
  <si>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</si>
  <si>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</si>
  <si>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</si>
  <si>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</si>
  <si>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</si>
  <si>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</si>
  <si>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</si>
  <si>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</si>
  <si>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</si>
  <si>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</si>
  <si>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</si>
  <si>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</si>
  <si>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</si>
  <si>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</si>
  <si>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</si>
  <si>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</si>
  <si>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</si>
  <si>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</si>
  <si>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</si>
  <si>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</si>
  <si>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</si>
  <si>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</si>
  <si>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</si>
  <si>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</si>
  <si>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</si>
  <si>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</si>
  <si>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</si>
  <si>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</si>
  <si>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</si>
  <si>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</si>
  <si>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</si>
  <si>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</si>
  <si>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</si>
  <si>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</si>
  <si>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</si>
  <si>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</si>
  <si>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</si>
  <si>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</si>
  <si>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</si>
  <si>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</si>
  <si>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</si>
  <si>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</si>
  <si>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</si>
  <si>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</si>
  <si>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</si>
  <si>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</si>
  <si>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</si>
  <si>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</si>
  <si>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</si>
  <si>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</si>
  <si>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</si>
  <si>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</si>
  <si>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</si>
  <si>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</si>
  <si>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</si>
  <si>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</si>
  <si>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</si>
  <si>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</si>
  <si>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</si>
  <si>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</si>
  <si>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</si>
  <si>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</si>
  <si>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</si>
  <si>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</si>
  <si>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</si>
  <si>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</si>
  <si>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</si>
  <si>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</si>
  <si>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</si>
  <si>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</si>
  <si>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</si>
  <si>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</si>
  <si>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</si>
  <si>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</si>
  <si>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</si>
  <si>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</si>
  <si>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</si>
  <si>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</si>
  <si>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</si>
  <si>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</si>
  <si>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</si>
  <si>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</si>
  <si>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</si>
  <si>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</si>
  <si>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</si>
  <si>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</si>
  <si>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</si>
  <si>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</si>
  <si>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</si>
  <si>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</si>
  <si>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</si>
  <si>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</si>
  <si>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</si>
  <si>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</si>
  <si>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</si>
  <si>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</si>
  <si>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</si>
  <si>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</si>
  <si>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</si>
  <si>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</si>
  <si>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</si>
  <si>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</si>
  <si>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</si>
  <si>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</si>
  <si>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</si>
  <si>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</si>
  <si>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</si>
  <si>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</si>
  <si>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</si>
  <si>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</si>
  <si>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</si>
  <si>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</si>
  <si>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</si>
  <si>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</si>
  <si>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</si>
  <si>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</si>
  <si>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</si>
  <si>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</si>
  <si>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</si>
  <si>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</si>
  <si>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</si>
  <si>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</si>
  <si>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</si>
  <si>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</si>
  <si>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</si>
  <si>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</si>
  <si>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</si>
  <si>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</si>
  <si>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</si>
  <si>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</si>
  <si>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</si>
  <si>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</si>
  <si>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</si>
  <si>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</si>
  <si>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</si>
  <si>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</si>
  <si>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</si>
  <si>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</si>
  <si>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</si>
  <si>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</si>
  <si>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</si>
  <si>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</si>
  <si>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</si>
  <si>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</si>
  <si>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</si>
  <si>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</si>
  <si>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</si>
  <si>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</si>
  <si>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</si>
  <si>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</si>
  <si>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</si>
  <si>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</si>
  <si>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</si>
  <si>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</si>
  <si>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</si>
  <si>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</si>
  <si>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</si>
  <si>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</si>
  <si>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</si>
  <si>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</si>
  <si>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</si>
  <si>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</si>
  <si>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</si>
  <si>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</si>
  <si>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</si>
  <si>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</si>
  <si>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</si>
  <si>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</si>
  <si>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</si>
  <si>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</si>
  <si>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</si>
  <si>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</si>
  <si>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</si>
  <si>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</si>
  <si>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</si>
  <si>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</si>
  <si>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</si>
  <si>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</si>
  <si>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</si>
  <si>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</si>
  <si>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</si>
  <si>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</si>
  <si>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</si>
  <si>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</si>
  <si>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</si>
  <si>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</si>
  <si>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</si>
  <si>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</si>
  <si>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</si>
  <si>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</si>
  <si>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</si>
  <si>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</si>
  <si>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</si>
  <si>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</si>
  <si>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</si>
  <si>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</si>
  <si>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</si>
  <si>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</si>
  <si>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</si>
  <si>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</si>
  <si>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</si>
  <si>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</si>
  <si>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</si>
  <si>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</si>
  <si>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</si>
  <si>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</si>
  <si>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</si>
  <si>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</si>
  <si>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</si>
  <si>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</si>
  <si>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</si>
  <si>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</si>
  <si>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</si>
  <si>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</si>
  <si>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</si>
  <si>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</si>
  <si>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</si>
  <si>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</si>
  <si>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</si>
  <si>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</si>
  <si>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</si>
  <si>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</si>
  <si>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</si>
  <si>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</si>
  <si>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</si>
  <si>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</si>
  <si>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</si>
  <si>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</si>
  <si>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</si>
  <si>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</si>
  <si>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</si>
  <si>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</si>
  <si>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</si>
  <si>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</si>
  <si>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</si>
  <si>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</si>
  <si>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</si>
  <si>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</si>
  <si>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</si>
  <si>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</si>
  <si>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</si>
  <si>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</si>
  <si>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</si>
  <si>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</si>
  <si>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</si>
  <si>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</si>
  <si>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</si>
  <si>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</si>
  <si>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</si>
  <si>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</si>
  <si>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</si>
  <si>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</si>
  <si>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</si>
  <si>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</si>
  <si>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</si>
  <si>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</si>
  <si>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</si>
  <si>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</si>
  <si>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</si>
  <si>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</si>
  <si>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</si>
  <si>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</si>
  <si>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</si>
  <si>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</si>
  <si>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</si>
  <si>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</si>
  <si>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</si>
  <si>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</si>
  <si>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</si>
  <si>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</si>
  <si>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</si>
  <si>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</si>
  <si>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</si>
  <si>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</si>
  <si>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</si>
  <si>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</si>
  <si>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</si>
  <si>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</si>
  <si>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</si>
  <si>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</si>
  <si>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</si>
  <si>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</si>
  <si>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</si>
  <si>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</si>
  <si>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</si>
  <si>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</si>
  <si>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</si>
  <si>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</si>
  <si>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</si>
  <si>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</si>
  <si>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</si>
  <si>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</si>
  <si>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</si>
  <si>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</si>
  <si>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</si>
  <si>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</si>
  <si>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</si>
  <si>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</si>
  <si>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</si>
  <si>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</si>
  <si>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</si>
  <si>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</si>
  <si>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</si>
  <si>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</si>
  <si>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</si>
  <si>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</si>
  <si>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</si>
  <si>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</si>
  <si>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</si>
  <si>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</si>
  <si>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</si>
  <si>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</si>
  <si>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</si>
  <si>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</si>
  <si>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</si>
  <si>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</si>
  <si>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</si>
  <si>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</si>
  <si>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</si>
  <si>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</si>
  <si>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</si>
  <si>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</si>
  <si>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</si>
  <si>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</si>
  <si>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</si>
  <si>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</si>
  <si>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</si>
  <si>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</si>
  <si>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</si>
  <si>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</si>
  <si>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</si>
  <si>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</si>
  <si>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</si>
  <si>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</si>
  <si>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</si>
  <si>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</si>
  <si>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</si>
  <si>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</si>
  <si>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</si>
  <si>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</si>
  <si>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</si>
  <si>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</si>
  <si>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</si>
  <si>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</si>
  <si>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</si>
  <si>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</si>
  <si>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</si>
  <si>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</si>
  <si>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</si>
  <si>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</si>
  <si>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</si>
  <si>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</si>
  <si>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</si>
  <si>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</si>
  <si>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</si>
  <si>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</si>
  <si>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</si>
  <si>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</si>
  <si>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</si>
  <si>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</si>
  <si>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</si>
  <si>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</si>
  <si>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</si>
  <si>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</si>
  <si>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</si>
  <si>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</si>
  <si>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</si>
  <si>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</si>
  <si>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</si>
  <si>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</si>
  <si>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</si>
  <si>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</si>
  <si>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</si>
  <si>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</si>
  <si>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</si>
  <si>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</si>
  <si>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</si>
  <si>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</si>
  <si>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</si>
  <si>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</si>
  <si>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</si>
  <si>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</si>
  <si>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</si>
  <si>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</si>
  <si>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</si>
  <si>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</si>
  <si>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</si>
  <si>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</si>
  <si>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</si>
  <si>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</si>
  <si>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</si>
  <si>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</si>
  <si>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</si>
  <si>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</si>
  <si>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</si>
  <si>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</si>
  <si>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</si>
  <si>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</si>
  <si>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</si>
  <si>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</si>
  <si>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</si>
  <si>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</si>
  <si>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</si>
  <si>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</si>
  <si>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</si>
  <si>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</si>
  <si>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</si>
  <si>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</si>
  <si>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</si>
  <si>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</si>
  <si>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</si>
  <si>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</si>
  <si>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</si>
  <si>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</si>
  <si>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</si>
  <si>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</si>
  <si>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</si>
  <si>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</si>
  <si>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</si>
  <si>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</si>
  <si>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</si>
  <si>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</si>
  <si>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</si>
  <si>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</si>
  <si>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</si>
  <si>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</si>
  <si>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</si>
  <si>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</si>
  <si>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</si>
  <si>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</si>
  <si>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</si>
  <si>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</si>
  <si>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</si>
  <si>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</si>
  <si>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</si>
  <si>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</si>
  <si>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</si>
  <si>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</si>
  <si>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</si>
  <si>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</si>
  <si>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</si>
  <si>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</si>
  <si>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</si>
  <si>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</si>
  <si>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</si>
  <si>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</si>
  <si>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</si>
  <si>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</si>
  <si>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</si>
  <si>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</si>
  <si>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</si>
  <si>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</si>
  <si>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</si>
  <si>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</si>
  <si>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</si>
  <si>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</si>
  <si>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</si>
  <si>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</si>
  <si>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</si>
  <si>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</si>
  <si>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</si>
  <si>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</si>
  <si>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</si>
  <si>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</si>
  <si>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</si>
  <si>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</si>
  <si>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</si>
  <si>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</si>
  <si>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</si>
  <si>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</si>
  <si>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</si>
  <si>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</si>
  <si>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</si>
  <si>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</si>
  <si>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</si>
  <si>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</si>
  <si>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</si>
  <si>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</si>
  <si>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</si>
  <si>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</si>
  <si>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</si>
  <si>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</si>
  <si>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</si>
  <si>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</si>
  <si>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</si>
  <si>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</si>
  <si>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</si>
  <si>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</si>
  <si>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</si>
  <si>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</si>
  <si>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</si>
  <si>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</si>
  <si>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</si>
  <si>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</si>
  <si>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</si>
  <si>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</si>
  <si>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</si>
  <si>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</si>
  <si>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</si>
  <si>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</si>
  <si>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</si>
  <si>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</si>
  <si>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</si>
  <si>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</si>
  <si>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</si>
  <si>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</si>
  <si>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</si>
  <si>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</si>
  <si>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</si>
  <si>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</si>
  <si>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</si>
  <si>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</si>
  <si>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</si>
  <si>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Precious Metal Sales, Inc.</t>
  </si>
  <si>
    <t>100 New Wood Rd, Watertown, CT 06795</t>
  </si>
  <si>
    <t>Krista Upson</t>
  </si>
  <si>
    <t>8602748813</t>
  </si>
  <si>
    <t>krista@pmsalesinc.com</t>
  </si>
  <si>
    <t>Anthony Luccaro</t>
  </si>
  <si>
    <t>President</t>
  </si>
  <si>
    <t>here4u@pmsalesinc.com</t>
  </si>
  <si>
    <t>Potassium Gold Cyanide (PGC) is solely manufactured from recycled and scrap sources.</t>
  </si>
  <si>
    <t>AURUNA Gold Solution CAP 50 is solely manufactured from recycled sources.</t>
  </si>
  <si>
    <t>We do require but not validated by a third party.</t>
  </si>
  <si>
    <t xml:space="preserve"> CAHRA’s does not -in any way- finance armed groups, forced labour and other human rights abuses, or support corruption and money laundering. </t>
  </si>
  <si>
    <t>Metalor Technologies is a LBMA Good delivery refiner</t>
  </si>
  <si>
    <t>cid001157</t>
  </si>
  <si>
    <t>255 Jonh L. Dietsch Boulevard</t>
  </si>
  <si>
    <t>Samantha McCourt</t>
  </si>
  <si>
    <t>Samantha.McCourt@metalor.com</t>
  </si>
  <si>
    <t>Mining, recycled and scrap sources</t>
  </si>
  <si>
    <t xml:space="preserve">One smelter declares that it does business with very limited industrial mines situated in CAHRA’s. All customers operating in these areas are part of international listed companies </t>
  </si>
  <si>
    <t>with a very strong commitment to compliance. All those companies meet all requirements of the smelters due diligence and compliance process in line with LBMA, RJC and OECD guidelines. Their business in</t>
  </si>
  <si>
    <t>cid000711</t>
  </si>
  <si>
    <t>cid000920</t>
  </si>
  <si>
    <t>recycled</t>
  </si>
  <si>
    <t>cid002030</t>
  </si>
  <si>
    <t>cid001980</t>
  </si>
  <si>
    <t>cid002778</t>
  </si>
  <si>
    <t>cid001875</t>
  </si>
  <si>
    <t>cid001161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</si>
</sst>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64">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protection locked="0"/>
    </xf>
    <xf numFmtId="0" fontId="0" fillId="0" borderId="65" xfId="0" applyFont="1" applyFill="1" applyBorder="1" applyAlignment="1" applyProtection="1">
      <alignment horizontal="left" vertical="center"/>
      <protection locked="0"/>
    </xf>
    <xf numFmtId="0" fontId="0" fillId="33" borderId="42"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2ADA76E-F1FD-4E67-9C98-283A748D4D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rista@pmsales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e4u@pmsales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75">
      <c r="A4" s="367"/>
      <c r="B4" s="38" t="s">
        <v>849</v>
      </c>
      <c r="C4" s="7"/>
      <c r="D4" s="201"/>
      <c r="E4" s="3"/>
      <c r="F4" s="7"/>
      <c r="G4" s="31"/>
    </row>
    <row r="5" spans="1:7">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33.75">
      <c r="A13" s="367"/>
      <c r="B13" s="2">
        <v>1</v>
      </c>
      <c r="C13" s="34" t="s">
        <v>1088</v>
      </c>
      <c r="D13" s="36" t="s">
        <v>876</v>
      </c>
      <c r="E13" s="187" t="s">
        <v>853</v>
      </c>
      <c r="F13" s="187"/>
      <c r="G13" s="31"/>
    </row>
    <row r="14" spans="1:7" ht="33.75">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82">
        <v>2.0299999999999998</v>
      </c>
      <c r="C22" s="382" t="s">
        <v>822</v>
      </c>
      <c r="D22" s="385" t="s">
        <v>2265</v>
      </c>
      <c r="E22" s="364" t="s">
        <v>437</v>
      </c>
      <c r="F22" s="188" t="s">
        <v>460</v>
      </c>
      <c r="G22" s="31"/>
    </row>
    <row r="23" spans="1:7" ht="109.5" customHeight="1">
      <c r="A23" s="367"/>
      <c r="B23" s="383"/>
      <c r="C23" s="383"/>
      <c r="D23" s="386"/>
      <c r="E23" s="365"/>
      <c r="F23" s="189" t="s">
        <v>823</v>
      </c>
      <c r="G23" s="31"/>
    </row>
    <row r="24" spans="1:7" ht="74.25" customHeight="1">
      <c r="A24" s="367"/>
      <c r="B24" s="384"/>
      <c r="C24" s="384"/>
      <c r="D24" s="387"/>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650000000000006" customHeight="1">
      <c r="A29" s="367"/>
      <c r="B29" s="380"/>
      <c r="C29" s="374"/>
      <c r="D29" s="377"/>
      <c r="E29" s="365"/>
      <c r="F29" s="189" t="s">
        <v>61</v>
      </c>
      <c r="G29" s="31"/>
    </row>
    <row r="30" spans="1:7" ht="62.6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6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26.75">
      <c r="A36" s="367"/>
      <c r="B36" s="381"/>
      <c r="C36" s="375"/>
      <c r="D36" s="378"/>
      <c r="E36" s="366"/>
      <c r="F36" s="190" t="s">
        <v>69</v>
      </c>
      <c r="G36" s="31"/>
    </row>
    <row r="37" spans="1:7" ht="112.5">
      <c r="A37" s="367"/>
      <c r="B37" s="163">
        <v>3.01</v>
      </c>
      <c r="C37" s="164" t="s">
        <v>70</v>
      </c>
      <c r="D37" s="36" t="s">
        <v>2268</v>
      </c>
      <c r="E37" s="191" t="s">
        <v>1328</v>
      </c>
      <c r="F37" s="192" t="s">
        <v>1434</v>
      </c>
      <c r="G37" s="31"/>
    </row>
    <row r="38" spans="1:7" ht="101.25">
      <c r="A38" s="367"/>
      <c r="B38" s="163">
        <v>3.02</v>
      </c>
      <c r="C38" s="164" t="s">
        <v>1361</v>
      </c>
      <c r="D38" s="36" t="s">
        <v>2269</v>
      </c>
      <c r="E38" s="191" t="s">
        <v>1376</v>
      </c>
      <c r="F38" s="192" t="s">
        <v>1435</v>
      </c>
      <c r="G38" s="31"/>
    </row>
    <row r="39" spans="1:7" ht="101.25">
      <c r="A39" s="367"/>
      <c r="B39" s="173">
        <v>4</v>
      </c>
      <c r="C39" s="172" t="s">
        <v>1531</v>
      </c>
      <c r="D39" s="36" t="s">
        <v>2270</v>
      </c>
      <c r="E39" s="34" t="s">
        <v>2213</v>
      </c>
      <c r="F39" s="34" t="s">
        <v>1532</v>
      </c>
      <c r="G39" s="31"/>
    </row>
    <row r="40" spans="1:7" ht="56.25">
      <c r="A40" s="367"/>
      <c r="B40" s="163">
        <v>4.01</v>
      </c>
      <c r="C40" s="172" t="s">
        <v>1531</v>
      </c>
      <c r="D40" s="36" t="s">
        <v>2272</v>
      </c>
      <c r="E40" s="34" t="s">
        <v>2227</v>
      </c>
      <c r="F40" s="34" t="s">
        <v>2231</v>
      </c>
      <c r="G40" s="31"/>
    </row>
    <row r="41" spans="1:7" ht="56.25">
      <c r="A41" s="367"/>
      <c r="B41" s="163" t="s">
        <v>2259</v>
      </c>
      <c r="C41" s="172" t="s">
        <v>1531</v>
      </c>
      <c r="D41" s="36" t="s">
        <v>2271</v>
      </c>
      <c r="E41" s="34" t="s">
        <v>2262</v>
      </c>
      <c r="F41" s="34" t="s">
        <v>2260</v>
      </c>
      <c r="G41" s="31"/>
    </row>
    <row r="42" spans="1:7" ht="56.25">
      <c r="A42" s="367"/>
      <c r="B42" s="163" t="s">
        <v>2295</v>
      </c>
      <c r="C42" s="172" t="s">
        <v>1531</v>
      </c>
      <c r="D42" s="36" t="s">
        <v>2302</v>
      </c>
      <c r="E42" s="34" t="s">
        <v>2261</v>
      </c>
      <c r="F42" s="34" t="s">
        <v>2296</v>
      </c>
      <c r="G42" s="31"/>
    </row>
    <row r="43" spans="1:7" ht="123.75">
      <c r="A43" s="367"/>
      <c r="B43" s="184">
        <v>4.0999999999999996</v>
      </c>
      <c r="C43" s="172" t="s">
        <v>2301</v>
      </c>
      <c r="D43" s="185">
        <v>42867</v>
      </c>
      <c r="E43" s="193" t="s">
        <v>2304</v>
      </c>
      <c r="F43" s="34" t="s">
        <v>2303</v>
      </c>
      <c r="G43" s="31"/>
    </row>
    <row r="44" spans="1:7" ht="78.75">
      <c r="A44" s="367"/>
      <c r="B44" s="184">
        <v>4.2</v>
      </c>
      <c r="C44" s="172" t="s">
        <v>2301</v>
      </c>
      <c r="D44" s="185">
        <v>42704</v>
      </c>
      <c r="E44" s="193" t="s">
        <v>2503</v>
      </c>
      <c r="F44" s="34" t="s">
        <v>2478</v>
      </c>
      <c r="G44" s="31"/>
    </row>
    <row r="45" spans="1:7" ht="157.5">
      <c r="A45" s="367"/>
      <c r="B45" s="233">
        <v>5</v>
      </c>
      <c r="C45" s="172" t="s">
        <v>2301</v>
      </c>
      <c r="D45" s="185">
        <v>42867</v>
      </c>
      <c r="E45" s="193" t="s">
        <v>12784</v>
      </c>
      <c r="F45" s="34" t="s">
        <v>12506</v>
      </c>
      <c r="G45" s="31"/>
    </row>
    <row r="46" spans="1:7" ht="45">
      <c r="A46" s="367"/>
      <c r="B46" s="184">
        <v>5.01</v>
      </c>
      <c r="C46" s="172" t="s">
        <v>2301</v>
      </c>
      <c r="D46" s="185">
        <v>42907</v>
      </c>
      <c r="E46" s="193" t="s">
        <v>15650</v>
      </c>
      <c r="F46" s="34" t="s">
        <v>12506</v>
      </c>
      <c r="G46" s="31"/>
    </row>
    <row r="47" spans="1:7" ht="67.5">
      <c r="A47" s="367"/>
      <c r="B47" s="184">
        <v>5.0999999999999996</v>
      </c>
      <c r="C47" s="172" t="s">
        <v>2301</v>
      </c>
      <c r="D47" s="185">
        <v>43070</v>
      </c>
      <c r="E47" s="193" t="s">
        <v>12994</v>
      </c>
      <c r="F47" s="34" t="s">
        <v>12995</v>
      </c>
      <c r="G47" s="31"/>
    </row>
    <row r="48" spans="1:7" ht="56.25">
      <c r="A48" s="367"/>
      <c r="B48" s="184">
        <v>5.1100000000000003</v>
      </c>
      <c r="C48" s="172" t="s">
        <v>13232</v>
      </c>
      <c r="D48" s="185">
        <v>43217</v>
      </c>
      <c r="E48" s="193" t="s">
        <v>13358</v>
      </c>
      <c r="F48" s="34" t="s">
        <v>13266</v>
      </c>
      <c r="G48" s="31"/>
    </row>
    <row r="49" spans="1:7" ht="56.25">
      <c r="A49" s="367"/>
      <c r="B49" s="184">
        <v>5.12</v>
      </c>
      <c r="C49" s="172" t="s">
        <v>13232</v>
      </c>
      <c r="D49" s="185">
        <v>43581</v>
      </c>
      <c r="E49" s="193" t="s">
        <v>13358</v>
      </c>
      <c r="F49" s="34" t="s">
        <v>13920</v>
      </c>
      <c r="G49" s="31"/>
    </row>
    <row r="50" spans="1:7" ht="78.75">
      <c r="A50" s="367"/>
      <c r="B50" s="233">
        <v>6</v>
      </c>
      <c r="C50" s="172" t="s">
        <v>13232</v>
      </c>
      <c r="D50" s="185">
        <v>43964</v>
      </c>
      <c r="E50" s="193" t="s">
        <v>14138</v>
      </c>
      <c r="F50" s="34" t="s">
        <v>13925</v>
      </c>
      <c r="G50" s="31"/>
    </row>
    <row r="51" spans="1:7" ht="45">
      <c r="A51" s="367"/>
      <c r="B51" s="184">
        <v>6.01</v>
      </c>
      <c r="C51" s="172" t="s">
        <v>13232</v>
      </c>
      <c r="D51" s="185">
        <v>43970</v>
      </c>
      <c r="E51" s="193" t="s">
        <v>15651</v>
      </c>
      <c r="F51" s="193" t="s">
        <v>13925</v>
      </c>
      <c r="G51" s="31"/>
    </row>
    <row r="52" spans="1:7" ht="45">
      <c r="A52" s="367"/>
      <c r="B52" s="184">
        <v>6.1</v>
      </c>
      <c r="C52" s="172" t="s">
        <v>13232</v>
      </c>
      <c r="D52" s="185">
        <v>44314</v>
      </c>
      <c r="E52" s="193" t="s">
        <v>15631</v>
      </c>
      <c r="F52" s="193" t="s">
        <v>15144</v>
      </c>
      <c r="G52" s="31"/>
    </row>
    <row r="53" spans="1:7" ht="45">
      <c r="A53" s="367"/>
      <c r="B53" s="184">
        <v>6.2</v>
      </c>
      <c r="C53" s="172" t="s">
        <v>13232</v>
      </c>
      <c r="D53" s="185">
        <v>44678</v>
      </c>
      <c r="E53" s="193" t="s">
        <v>15631</v>
      </c>
      <c r="F53" s="193" t="s">
        <v>15624</v>
      </c>
      <c r="G53" s="31"/>
    </row>
    <row r="54" spans="1:7" ht="45">
      <c r="A54" s="367"/>
      <c r="B54" s="184">
        <v>6.21</v>
      </c>
      <c r="C54" s="172" t="s">
        <v>13232</v>
      </c>
      <c r="D54" s="185">
        <v>44687</v>
      </c>
      <c r="E54" s="193" t="s">
        <v>15652</v>
      </c>
      <c r="F54" s="193" t="s">
        <v>15624</v>
      </c>
      <c r="G54" s="31"/>
    </row>
    <row r="55" spans="1:7" ht="45">
      <c r="A55" s="367"/>
      <c r="B55" s="184">
        <v>6.22</v>
      </c>
      <c r="C55" s="172" t="s">
        <v>13232</v>
      </c>
      <c r="D55" s="348">
        <v>44692</v>
      </c>
      <c r="E55" s="193" t="s">
        <v>15651</v>
      </c>
      <c r="F55" s="193" t="s">
        <v>15624</v>
      </c>
      <c r="G55" s="31"/>
    </row>
    <row r="56" spans="1:7" ht="13.5" thickBot="1">
      <c r="A56" s="368"/>
      <c r="B56" s="369" t="str">
        <f ca="1">OFFSET(L!$C$1,MATCH("General"&amp;"Cpy",L!$A:$A,0)-1,SL,,)</f>
        <v>© 2022 Responsible Minerals Initiative. All rights reserved.</v>
      </c>
      <c r="C56" s="369"/>
      <c r="D56" s="369"/>
      <c r="E56" s="369"/>
      <c r="F56" s="36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2F5559-EB28-42C4-8BFD-92717EE19A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EE43331-2F72-4044-8E1D-CD0B8A15E9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8"/>
      <c r="B1" s="389"/>
      <c r="C1" s="389"/>
      <c r="D1" s="390"/>
    </row>
    <row r="2" spans="1:5" ht="71.25" customHeight="1">
      <c r="A2" s="84"/>
      <c r="B2" s="159" t="str">
        <f ca="1">OFFSET(L!$C$1,MATCH("Definitions"&amp;ADDRESS(ROW(),COLUMN(),4),L!$A:$A,0)-1,SL,,)</f>
        <v>ITEM</v>
      </c>
      <c r="C2" s="159" t="str">
        <f ca="1">OFFSET(L!$C$1,MATCH("Definitions"&amp;ADDRESS(ROW(),COLUMN(),4),L!$A:$A,0)-1,SL,,)</f>
        <v>DEFINITION</v>
      </c>
      <c r="D2" s="392"/>
      <c r="E2" s="121"/>
    </row>
    <row r="3" spans="1:5" ht="64.150000000000006" customHeight="1">
      <c r="A3" s="84"/>
      <c r="B3" s="71" t="str">
        <f ca="1">OFFSET(L!$C$1,MATCH("Definitions"&amp;ADDRESS(ROW(),COLUMN(),4),L!$A:$A,0)-1,SL,,)</f>
        <v>3TG</v>
      </c>
      <c r="C3" s="71" t="str">
        <f ca="1">OFFSET(L!$C$1,MATCH("Definitions"&amp;ADDRESS(ROW(),COLUMN(),4),L!$A:$A,0)-1,SL,,)</f>
        <v>Tantalum, tin, tungsten, gold</v>
      </c>
      <c r="D3" s="392"/>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2"/>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2"/>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2"/>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2"/>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2"/>
      <c r="E9" s="122" t="s">
        <v>1313</v>
      </c>
    </row>
    <row r="10" spans="1:5" ht="45">
      <c r="A10" s="84"/>
      <c r="B10" s="71" t="str">
        <f ca="1">OFFSET(L!$C$1,MATCH("Definitions"&amp;ADDRESS(ROW(),COLUMN(),4),L!$A:$A,0)-1,SL,,)</f>
        <v>DRC</v>
      </c>
      <c r="C10" s="71" t="str">
        <f ca="1">OFFSET(L!$C$1,MATCH("Definitions"&amp;ADDRESS(ROW(),COLUMN(),4),L!$A:$A,0)-1,SL,,)</f>
        <v>Democratic Republic of Congo</v>
      </c>
      <c r="D10" s="392"/>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2"/>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2"/>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2"/>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2"/>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2"/>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2"/>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2"/>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2"/>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2"/>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2"/>
      <c r="E20" s="122"/>
    </row>
    <row r="21" spans="1:5" ht="15">
      <c r="A21" s="84"/>
      <c r="B21" s="71" t="str">
        <f ca="1">OFFSET(L!$C$1,MATCH("Definitions"&amp;ADDRESS(ROW(),COLUMN(),4),L!$A:$A,0)-1,SL,,)</f>
        <v>RBA</v>
      </c>
      <c r="C21" s="71" t="str">
        <f ca="1">OFFSET(L!$C$1,MATCH("Definitions"&amp;ADDRESS(ROW(),COLUMN(),4),L!$A:$A,0)-1,SL,,)</f>
        <v>Responsible Business Alliance (www.responsiblebusiness.org)</v>
      </c>
      <c r="D21" s="392"/>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2"/>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2"/>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2"/>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2"/>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2"/>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2"/>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2"/>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2"/>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2"/>
      <c r="E31" s="122"/>
    </row>
    <row r="32" spans="1:5" ht="15">
      <c r="A32" s="84"/>
      <c r="B32" s="391" t="str">
        <f ca="1">OFFSET(L!$C$1,MATCH("General"&amp;"Cpy",L!$A:$A,0)-1,SL,,)</f>
        <v>© 2022 Responsible Minerals Initiative. All rights reserved.</v>
      </c>
      <c r="C32" s="391"/>
      <c r="D32" s="392"/>
      <c r="E32" s="122"/>
    </row>
    <row r="33" spans="1:4" ht="13.5" thickBot="1">
      <c r="A33" s="85"/>
      <c r="B33" s="176"/>
      <c r="C33" s="176"/>
      <c r="D33" s="393"/>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2"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5" t="str">
        <f ca="1">OFFSET(L!$C$1,MATCH("Declaration"&amp;ADDRESS(ROW(),COLUMN(),4),L!$A:$A,0)-1,SL,,)</f>
        <v>Conflict Minerals Reporting Template (CMRT)</v>
      </c>
      <c r="E2" s="416"/>
      <c r="F2" s="416"/>
      <c r="G2" s="416"/>
      <c r="H2" s="416"/>
      <c r="I2" s="416"/>
      <c r="J2" s="41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5"/>
      <c r="G3" s="425"/>
      <c r="H3" s="425"/>
      <c r="I3" s="175"/>
      <c r="J3" s="160" t="s">
        <v>15654</v>
      </c>
      <c r="K3" s="44"/>
      <c r="L3" s="133"/>
      <c r="M3" s="124"/>
      <c r="N3" s="124"/>
      <c r="O3" s="125"/>
      <c r="P3" s="138">
        <f>MATCH($D$3,LN,0)</f>
        <v>1</v>
      </c>
    </row>
    <row r="4" spans="1:34" ht="15.75">
      <c r="A4" s="42"/>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0" t="str">
        <f ca="1">OFFSET(L!$C$1,MATCH("Declaration"&amp;ADDRESS(ROW(),COLUMN(),4),L!$A:$A,0)-1,SL,,)</f>
        <v>Company Information</v>
      </c>
      <c r="C7" s="430"/>
      <c r="D7" s="430"/>
      <c r="E7" s="430"/>
      <c r="F7" s="430"/>
      <c r="G7" s="430"/>
      <c r="H7" s="430"/>
      <c r="I7" s="430"/>
      <c r="J7" s="43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8" t="s">
        <v>15655</v>
      </c>
      <c r="E8" s="419"/>
      <c r="F8" s="419"/>
      <c r="G8" s="419"/>
      <c r="H8" s="419"/>
      <c r="I8" s="419"/>
      <c r="J8" s="42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7" t="s">
        <v>494</v>
      </c>
      <c r="E9" s="428"/>
      <c r="F9" s="428"/>
      <c r="G9" s="42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1" t="str">
        <f ca="1">OFFSET(L!$C$1,MATCH("Declaration"&amp;ADDRESS(ROW(),COLUMN(),4)&amp;LEFT($D$9,1),L!$A:$A,0)-1,SL,,)</f>
        <v>Description of Scope:</v>
      </c>
      <c r="C10" s="144"/>
      <c r="D10" s="422"/>
      <c r="E10" s="423"/>
      <c r="F10" s="423"/>
      <c r="G10" s="423"/>
      <c r="H10" s="423"/>
      <c r="I10" s="423"/>
      <c r="J10" s="42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2"/>
      <c r="C11" s="144"/>
      <c r="D11" s="438" t="str">
        <f ca="1">IF(D9=Q9,OFFSET(L!$C$1,MATCH("Declaration"&amp;ADDRESS(ROW(),COLUMN(),4),L!$A:$A,0)-1,SL,,),"")</f>
        <v/>
      </c>
      <c r="E11" s="439"/>
      <c r="F11" s="439"/>
      <c r="G11" s="439"/>
      <c r="H11" s="439"/>
      <c r="I11" s="439"/>
      <c r="J11" s="44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4"/>
      <c r="E12" s="395"/>
      <c r="F12" s="395"/>
      <c r="G12" s="395"/>
      <c r="H12" s="395"/>
      <c r="I12" s="395"/>
      <c r="J12" s="39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4"/>
      <c r="E13" s="395"/>
      <c r="F13" s="395"/>
      <c r="G13" s="395"/>
      <c r="H13" s="395"/>
      <c r="I13" s="395"/>
      <c r="J13" s="39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4" t="s">
        <v>15656</v>
      </c>
      <c r="E14" s="395"/>
      <c r="F14" s="395"/>
      <c r="G14" s="395"/>
      <c r="H14" s="395"/>
      <c r="I14" s="395"/>
      <c r="J14" s="39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149999999999999" customHeight="1">
      <c r="A15" s="46"/>
      <c r="B15" s="48" t="str">
        <f ca="1">OFFSET(L!$C$1,MATCH("Declaration"&amp;ADDRESS(ROW(),COLUMN(),4),L!$A:$A,0)-1,SL,,)</f>
        <v>Contact Name (*):</v>
      </c>
      <c r="C15" s="87"/>
      <c r="D15" s="394" t="s">
        <v>15657</v>
      </c>
      <c r="E15" s="395"/>
      <c r="F15" s="395"/>
      <c r="G15" s="395"/>
      <c r="H15" s="395"/>
      <c r="I15" s="395"/>
      <c r="J15" s="39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3" t="s">
        <v>15659</v>
      </c>
      <c r="E16" s="434"/>
      <c r="F16" s="434"/>
      <c r="G16" s="434"/>
      <c r="H16" s="434"/>
      <c r="I16" s="434"/>
      <c r="J16" s="43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56" t="s">
        <v>15658</v>
      </c>
      <c r="E17" s="357"/>
      <c r="F17" s="357"/>
      <c r="G17" s="357"/>
      <c r="H17" s="357"/>
      <c r="I17" s="357"/>
      <c r="J17" s="35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4" t="s">
        <v>15660</v>
      </c>
      <c r="E18" s="395"/>
      <c r="F18" s="395"/>
      <c r="G18" s="395"/>
      <c r="H18" s="395"/>
      <c r="I18" s="395"/>
      <c r="J18" s="39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4" t="s">
        <v>15661</v>
      </c>
      <c r="E19" s="395"/>
      <c r="F19" s="395"/>
      <c r="G19" s="395"/>
      <c r="H19" s="395"/>
      <c r="I19" s="395"/>
      <c r="J19" s="39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3" t="s">
        <v>15662</v>
      </c>
      <c r="E20" s="434"/>
      <c r="F20" s="434"/>
      <c r="G20" s="434"/>
      <c r="H20" s="434"/>
      <c r="I20" s="434"/>
      <c r="J20" s="43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4" t="s">
        <v>15658</v>
      </c>
      <c r="E21" s="395"/>
      <c r="F21" s="395"/>
      <c r="G21" s="395"/>
      <c r="H21" s="395"/>
      <c r="I21" s="395"/>
      <c r="J21" s="39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9">
        <v>44734</v>
      </c>
      <c r="E22" s="40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3"/>
      <c r="E23" s="44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01" t="str">
        <f ca="1">OFFSET(L!$C$1,MATCH("Declaration"&amp;ADDRESS(ROW(),COLUMN(),4),L!$A:$A,0)-1,SL,,)</f>
        <v>Answer the following questions 1 - 8 based on the declaration scope indicated above</v>
      </c>
      <c r="C24" s="401"/>
      <c r="D24" s="401"/>
      <c r="E24" s="401"/>
      <c r="F24" s="401"/>
      <c r="G24" s="401"/>
      <c r="H24" s="401"/>
      <c r="I24" s="401"/>
      <c r="J24" s="40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8" t="str">
        <f ca="1">OFFSET(L!$C$1,MATCH("Declaration"&amp;ADDRESS(ROW(),COLUMN(),4),L!$A:$A,0)-1,SL,,)</f>
        <v>Answer</v>
      </c>
      <c r="E25" s="40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7" t="s">
        <v>489</v>
      </c>
      <c r="E26" s="398"/>
      <c r="F26" s="15"/>
      <c r="G26" s="405"/>
      <c r="H26" s="406"/>
      <c r="I26" s="406"/>
      <c r="J26" s="407"/>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97" t="s">
        <v>489</v>
      </c>
      <c r="E27" s="398"/>
      <c r="F27" s="15"/>
      <c r="G27" s="405"/>
      <c r="H27" s="406"/>
      <c r="I27" s="406"/>
      <c r="J27" s="407"/>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7" t="s">
        <v>488</v>
      </c>
      <c r="E28" s="398"/>
      <c r="F28" s="15"/>
      <c r="G28" s="405"/>
      <c r="H28" s="406"/>
      <c r="I28" s="406"/>
      <c r="J28" s="407"/>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7" t="s">
        <v>489</v>
      </c>
      <c r="E29" s="398"/>
      <c r="F29" s="15"/>
      <c r="G29" s="405"/>
      <c r="H29" s="406"/>
      <c r="I29" s="406"/>
      <c r="J29" s="407"/>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2" t="str">
        <f ca="1">D25</f>
        <v>Answer</v>
      </c>
      <c r="E31" s="402"/>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3"/>
      <c r="E32" s="404"/>
      <c r="F32" s="55"/>
      <c r="G32" s="405"/>
      <c r="H32" s="406"/>
      <c r="I32" s="406"/>
      <c r="J32" s="407"/>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97"/>
      <c r="E33" s="398"/>
      <c r="F33" s="55"/>
      <c r="G33" s="405"/>
      <c r="H33" s="406"/>
      <c r="I33" s="406"/>
      <c r="J33" s="407"/>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7" t="s">
        <v>488</v>
      </c>
      <c r="E34" s="398"/>
      <c r="F34" s="55"/>
      <c r="G34" s="405"/>
      <c r="H34" s="406"/>
      <c r="I34" s="406"/>
      <c r="J34" s="407"/>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7"/>
      <c r="E35" s="398"/>
      <c r="F35" s="55"/>
      <c r="G35" s="405"/>
      <c r="H35" s="406"/>
      <c r="I35" s="406"/>
      <c r="J35" s="407"/>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2" t="str">
        <f ca="1">D25</f>
        <v>Answer</v>
      </c>
      <c r="E37" s="402"/>
      <c r="F37" s="21"/>
      <c r="G37" s="52" t="str">
        <f ca="1">G25</f>
        <v>Comments</v>
      </c>
      <c r="H37" s="442"/>
      <c r="I37" s="442"/>
      <c r="J37" s="44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7"/>
      <c r="E38" s="398"/>
      <c r="F38" s="55"/>
      <c r="G38" s="405"/>
      <c r="H38" s="406"/>
      <c r="I38" s="406"/>
      <c r="J38" s="407"/>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97"/>
      <c r="E39" s="398"/>
      <c r="F39" s="55"/>
      <c r="G39" s="405"/>
      <c r="H39" s="406"/>
      <c r="I39" s="406"/>
      <c r="J39" s="407"/>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7" t="s">
        <v>489</v>
      </c>
      <c r="E40" s="398"/>
      <c r="F40" s="55"/>
      <c r="G40" s="405"/>
      <c r="H40" s="406"/>
      <c r="I40" s="406"/>
      <c r="J40" s="407"/>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7"/>
      <c r="E41" s="398"/>
      <c r="F41" s="55"/>
      <c r="G41" s="405"/>
      <c r="H41" s="406"/>
      <c r="I41" s="406"/>
      <c r="J41" s="407"/>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2" t="str">
        <f ca="1">D25</f>
        <v>Answer</v>
      </c>
      <c r="E43" s="402"/>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7"/>
      <c r="E44" s="398"/>
      <c r="F44" s="55"/>
      <c r="G44" s="405" t="s">
        <v>15673</v>
      </c>
      <c r="H44" s="406"/>
      <c r="I44" s="406"/>
      <c r="J44" s="407"/>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97"/>
      <c r="E45" s="398"/>
      <c r="F45" s="55"/>
      <c r="G45" s="405" t="s">
        <v>15674</v>
      </c>
      <c r="H45" s="406"/>
      <c r="I45" s="406"/>
      <c r="J45" s="407"/>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7" t="s">
        <v>488</v>
      </c>
      <c r="E46" s="398"/>
      <c r="F46" s="55"/>
      <c r="G46" s="405" t="s">
        <v>15666</v>
      </c>
      <c r="H46" s="406"/>
      <c r="I46" s="406"/>
      <c r="J46" s="407"/>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7"/>
      <c r="E47" s="398"/>
      <c r="F47" s="55"/>
      <c r="G47" s="405"/>
      <c r="H47" s="406"/>
      <c r="I47" s="406"/>
      <c r="J47" s="407"/>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2" t="str">
        <f ca="1">D25</f>
        <v>Answer</v>
      </c>
      <c r="E49" s="402"/>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7"/>
      <c r="E50" s="398"/>
      <c r="F50" s="55"/>
      <c r="G50" s="405"/>
      <c r="H50" s="406"/>
      <c r="I50" s="406"/>
      <c r="J50" s="407"/>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97"/>
      <c r="E51" s="398"/>
      <c r="F51" s="55"/>
      <c r="G51" s="405"/>
      <c r="H51" s="406"/>
      <c r="I51" s="406"/>
      <c r="J51" s="407"/>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7" t="s">
        <v>489</v>
      </c>
      <c r="E52" s="398"/>
      <c r="F52" s="55"/>
      <c r="G52" s="405" t="s">
        <v>15663</v>
      </c>
      <c r="H52" s="406"/>
      <c r="I52" s="406"/>
      <c r="J52" s="407"/>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7"/>
      <c r="E53" s="398"/>
      <c r="F53" s="55"/>
      <c r="G53" s="405" t="s">
        <v>15664</v>
      </c>
      <c r="H53" s="406"/>
      <c r="I53" s="406"/>
      <c r="J53" s="407"/>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2" t="str">
        <f ca="1">D25</f>
        <v>Answer</v>
      </c>
      <c r="E55" s="402"/>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6"/>
      <c r="E56" s="437"/>
      <c r="F56" s="55"/>
      <c r="G56" s="405"/>
      <c r="H56" s="406"/>
      <c r="I56" s="406"/>
      <c r="J56" s="407"/>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6"/>
      <c r="E57" s="437"/>
      <c r="F57" s="55"/>
      <c r="G57" s="405"/>
      <c r="H57" s="406"/>
      <c r="I57" s="406"/>
      <c r="J57" s="407"/>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6">
        <v>1</v>
      </c>
      <c r="E58" s="437"/>
      <c r="F58" s="55"/>
      <c r="G58" s="405"/>
      <c r="H58" s="406"/>
      <c r="I58" s="406"/>
      <c r="J58" s="407"/>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6"/>
      <c r="E59" s="437"/>
      <c r="F59" s="55"/>
      <c r="G59" s="405"/>
      <c r="H59" s="406"/>
      <c r="I59" s="406"/>
      <c r="J59" s="407"/>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2" t="str">
        <f ca="1">D25</f>
        <v>Answer</v>
      </c>
      <c r="E61" s="402"/>
      <c r="F61" s="21"/>
      <c r="G61" s="52" t="str">
        <f ca="1">G25</f>
        <v>Comments</v>
      </c>
      <c r="H61" s="441"/>
      <c r="I61" s="441"/>
      <c r="J61" s="44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3"/>
      <c r="E62" s="404"/>
      <c r="F62" s="55"/>
      <c r="G62" s="405"/>
      <c r="H62" s="406"/>
      <c r="I62" s="406"/>
      <c r="J62" s="407"/>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97"/>
      <c r="E63" s="398"/>
      <c r="F63" s="55"/>
      <c r="G63" s="405"/>
      <c r="H63" s="406"/>
      <c r="I63" s="406"/>
      <c r="J63" s="407"/>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7" t="s">
        <v>488</v>
      </c>
      <c r="E64" s="398"/>
      <c r="F64" s="55"/>
      <c r="G64" s="405"/>
      <c r="H64" s="406"/>
      <c r="I64" s="406"/>
      <c r="J64" s="407"/>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7"/>
      <c r="E65" s="398"/>
      <c r="F65" s="55"/>
      <c r="G65" s="405"/>
      <c r="H65" s="406"/>
      <c r="I65" s="406"/>
      <c r="J65" s="407"/>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2" t="str">
        <f ca="1">D25</f>
        <v>Answer</v>
      </c>
      <c r="E67" s="402"/>
      <c r="F67" s="21"/>
      <c r="G67" s="52" t="str">
        <f ca="1">G25</f>
        <v>Comments</v>
      </c>
      <c r="H67" s="441" t="str">
        <f>IF(Q75="(*)","Click here to enter smelter names","")</f>
        <v/>
      </c>
      <c r="I67" s="441"/>
      <c r="J67" s="44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7"/>
      <c r="E68" s="398"/>
      <c r="F68" s="56"/>
      <c r="G68" s="405"/>
      <c r="H68" s="406"/>
      <c r="I68" s="406"/>
      <c r="J68" s="407"/>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97"/>
      <c r="E69" s="398"/>
      <c r="F69" s="56"/>
      <c r="G69" s="405"/>
      <c r="H69" s="406"/>
      <c r="I69" s="406"/>
      <c r="J69" s="407"/>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7" t="s">
        <v>488</v>
      </c>
      <c r="E70" s="398"/>
      <c r="F70" s="56"/>
      <c r="G70" s="405"/>
      <c r="H70" s="406"/>
      <c r="I70" s="406"/>
      <c r="J70" s="407"/>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7"/>
      <c r="E71" s="398"/>
      <c r="F71" s="58"/>
      <c r="G71" s="405"/>
      <c r="H71" s="406"/>
      <c r="I71" s="406"/>
      <c r="J71" s="407"/>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1" t="str">
        <f ca="1">OFFSET(L!$C$1,MATCH("Declaration"&amp;ADDRESS(ROW(),COLUMN(),4),L!$A:$A,0)-1,SL,,)</f>
        <v>Answer the Following Questions at a Company Level</v>
      </c>
      <c r="C73" s="451"/>
      <c r="D73" s="451"/>
      <c r="E73" s="451"/>
      <c r="F73" s="451"/>
      <c r="G73" s="451"/>
      <c r="H73" s="451"/>
      <c r="I73" s="451"/>
      <c r="J73" s="45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8" t="str">
        <f ca="1">D25</f>
        <v>Answer</v>
      </c>
      <c r="E74" s="408"/>
      <c r="F74" s="61"/>
      <c r="G74" s="408" t="str">
        <f ca="1">G25</f>
        <v>Comments</v>
      </c>
      <c r="H74" s="408" t="e">
        <f>HLOOKUP(SL,LT,$O74,0)</f>
        <v>#NAME?</v>
      </c>
      <c r="I74" s="40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7" t="s">
        <v>488</v>
      </c>
      <c r="E75" s="398"/>
      <c r="F75" s="65"/>
      <c r="G75" s="405"/>
      <c r="H75" s="406"/>
      <c r="I75" s="406"/>
      <c r="J75" s="407"/>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9"/>
      <c r="H76" s="449"/>
      <c r="I76" s="449"/>
      <c r="J76" s="44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7" t="s">
        <v>489</v>
      </c>
      <c r="E77" s="398"/>
      <c r="F77" s="65"/>
      <c r="G77" s="409"/>
      <c r="H77" s="410"/>
      <c r="I77" s="410"/>
      <c r="J77" s="41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7" t="s">
        <v>489</v>
      </c>
      <c r="E79" s="398"/>
      <c r="F79" s="65"/>
      <c r="G79" s="405" t="s">
        <v>15665</v>
      </c>
      <c r="H79" s="406"/>
      <c r="I79" s="406"/>
      <c r="J79" s="407"/>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7" t="s">
        <v>488</v>
      </c>
      <c r="E81" s="398"/>
      <c r="F81" s="65"/>
      <c r="G81" s="405"/>
      <c r="H81" s="406"/>
      <c r="I81" s="406"/>
      <c r="J81" s="407"/>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7" t="s">
        <v>15082</v>
      </c>
      <c r="E83" s="398"/>
      <c r="F83" s="65"/>
      <c r="G83" s="405"/>
      <c r="H83" s="406"/>
      <c r="I83" s="406"/>
      <c r="J83" s="407"/>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7" t="s">
        <v>488</v>
      </c>
      <c r="E85" s="448"/>
      <c r="F85" s="65"/>
      <c r="G85" s="405"/>
      <c r="H85" s="406"/>
      <c r="I85" s="406"/>
      <c r="J85" s="407"/>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9"/>
      <c r="H86" s="449"/>
      <c r="I86" s="449"/>
      <c r="J86" s="44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7" t="s">
        <v>488</v>
      </c>
      <c r="E87" s="398"/>
      <c r="F87" s="65"/>
      <c r="G87" s="405"/>
      <c r="H87" s="406"/>
      <c r="I87" s="406"/>
      <c r="J87" s="407"/>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0"/>
      <c r="H88" s="450"/>
      <c r="I88" s="450"/>
      <c r="J88" s="450"/>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7" t="s">
        <v>489</v>
      </c>
      <c r="E89" s="398"/>
      <c r="F89" s="65"/>
      <c r="G89" s="405"/>
      <c r="H89" s="406"/>
      <c r="I89" s="406"/>
      <c r="J89" s="407"/>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6" t="str">
        <f>IF(OR($D$8="",$I$3=""),"","Click here to check required fields completion")</f>
        <v/>
      </c>
      <c r="C90" s="446"/>
      <c r="D90" s="446"/>
      <c r="E90" s="446"/>
      <c r="F90" s="446"/>
      <c r="G90" s="446"/>
      <c r="H90" s="446"/>
      <c r="I90" s="446"/>
      <c r="J90" s="44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4" t="str">
        <f ca="1">OFFSET(L!$C$1,MATCH("General"&amp;"Cpy",L!$A:$A,0)-1,SL,,)</f>
        <v>© 2022 Responsible Minerals Initiative. All rights reserved.</v>
      </c>
      <c r="B91" s="445"/>
      <c r="C91" s="445"/>
      <c r="D91" s="445"/>
      <c r="E91" s="445"/>
      <c r="F91" s="445"/>
      <c r="G91" s="445"/>
      <c r="H91" s="445"/>
      <c r="I91" s="445"/>
      <c r="J91" s="44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46:J46"/>
    <mergeCell ref="G77:J77"/>
    <mergeCell ref="A1:K1"/>
    <mergeCell ref="D2:J2"/>
    <mergeCell ref="D8:J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D47:E47"/>
    <mergeCell ref="G47:J47"/>
    <mergeCell ref="D35:E35"/>
    <mergeCell ref="G38:J38"/>
    <mergeCell ref="D39:E39"/>
    <mergeCell ref="D49:E49"/>
    <mergeCell ref="G35:J35"/>
    <mergeCell ref="D25:E25"/>
    <mergeCell ref="D40:E40"/>
  </mergeCells>
  <conditionalFormatting sqref="D75:E75 D77:E77 D79:E79 D81:E81 D85:E85 D87:E87 D89:E89 D83">
    <cfRule type="expression" dxfId="85" priority="69" stopIfTrue="1">
      <formula>AND(OR($D$26="No",AND($D$26="Yes",$D$32="No")),OR($D$27="No",AND($D$27="Yes",$D$33="No")),OR($D$28="No",AND($D$28="Yes",$D$34="No")),OR($D$29="No",AND($D$29="Yes",$D$35="No")))</formula>
    </cfRule>
    <cfRule type="expression" dxfId="84" priority="70" stopIfTrue="1">
      <formula>IF(D75="",TRUE)</formula>
    </cfRule>
  </conditionalFormatting>
  <conditionalFormatting sqref="G77:J77">
    <cfRule type="expression" dxfId="83" priority="41" stopIfTrue="1">
      <formula>IF(AND($D$77="Yes",$G$77=""),TRUE)</formula>
    </cfRule>
  </conditionalFormatting>
  <conditionalFormatting sqref="D26:E26">
    <cfRule type="expression" dxfId="82" priority="121" stopIfTrue="1">
      <formula>IF($D$26="",TRUE)</formula>
    </cfRule>
  </conditionalFormatting>
  <conditionalFormatting sqref="D27:E27">
    <cfRule type="expression" dxfId="81" priority="128" stopIfTrue="1">
      <formula>IF($D$27="",TRUE)</formula>
    </cfRule>
  </conditionalFormatting>
  <conditionalFormatting sqref="D28:E28">
    <cfRule type="expression" dxfId="80" priority="129" stopIfTrue="1">
      <formula>IF($D$28="",TRUE)</formula>
    </cfRule>
  </conditionalFormatting>
  <conditionalFormatting sqref="D29:E29">
    <cfRule type="expression" dxfId="79" priority="130" stopIfTrue="1">
      <formula>IF($D$29="",TRUE)</formula>
    </cfRule>
  </conditionalFormatting>
  <conditionalFormatting sqref="D9:G9">
    <cfRule type="expression" dxfId="78" priority="136" stopIfTrue="1">
      <formula>IF($D$9="",TRUE)</formula>
    </cfRule>
  </conditionalFormatting>
  <conditionalFormatting sqref="D16:J16">
    <cfRule type="expression" dxfId="77" priority="138" stopIfTrue="1">
      <formula>IF($D$16="",TRUE)</formula>
    </cfRule>
  </conditionalFormatting>
  <conditionalFormatting sqref="D22:E22">
    <cfRule type="expression" dxfId="76" priority="143" stopIfTrue="1">
      <formula>IF($D$22="",TRUE)</formula>
    </cfRule>
  </conditionalFormatting>
  <conditionalFormatting sqref="D10:J10">
    <cfRule type="expression" dxfId="75" priority="40" stopIfTrue="1">
      <formula>IF($D$9=$Q$9,TRUE)</formula>
    </cfRule>
    <cfRule type="expression" dxfId="74" priority="150" stopIfTrue="1">
      <formula>IF(AND($D$10="",$D$9=$R$9),TRUE)</formula>
    </cfRule>
  </conditionalFormatting>
  <conditionalFormatting sqref="D34:E34 D40:E40 D52:E52 D58:E58 D64:E64 D70:E70">
    <cfRule type="expression" dxfId="73" priority="33" stopIfTrue="1">
      <formula>$P$28=""</formula>
    </cfRule>
  </conditionalFormatting>
  <conditionalFormatting sqref="D35:E35 D41:E41 D53:E53 D59:E59 D65:E65 D71:E71">
    <cfRule type="expression" dxfId="72" priority="148" stopIfTrue="1">
      <formula>$P$29=""</formula>
    </cfRule>
  </conditionalFormatting>
  <conditionalFormatting sqref="D32:E32">
    <cfRule type="expression" dxfId="71" priority="126" stopIfTrue="1">
      <formula>$P$26=""</formula>
    </cfRule>
  </conditionalFormatting>
  <conditionalFormatting sqref="D32:E32">
    <cfRule type="expression" dxfId="70" priority="39" stopIfTrue="1">
      <formula>IF(AND(OR($D$26="Yes",$D$26=""),$D$32=""),1,0)</formula>
    </cfRule>
  </conditionalFormatting>
  <conditionalFormatting sqref="D38 D50 D56 D62 D68">
    <cfRule type="expression" dxfId="69" priority="35" stopIfTrue="1">
      <formula>$P$32=""</formula>
    </cfRule>
  </conditionalFormatting>
  <conditionalFormatting sqref="D39:E39 D51 D57 D63 D69">
    <cfRule type="expression" dxfId="68" priority="34" stopIfTrue="1">
      <formula>$P$33=""</formula>
    </cfRule>
  </conditionalFormatting>
  <conditionalFormatting sqref="D40 D52 D58 D64 D70">
    <cfRule type="expression" dxfId="67" priority="24" stopIfTrue="1">
      <formula>$P$34=""</formula>
    </cfRule>
    <cfRule type="expression" dxfId="66" priority="146" stopIfTrue="1">
      <formula>IF(AND(OR($D$28="Yes",$D$28=""),D40=""),1,0)</formula>
    </cfRule>
  </conditionalFormatting>
  <conditionalFormatting sqref="D41 D53 D59 D65 D71">
    <cfRule type="expression" dxfId="65" priority="32" stopIfTrue="1">
      <formula>$P$35=""</formula>
    </cfRule>
  </conditionalFormatting>
  <conditionalFormatting sqref="D38:E38 D50:E50 D56:E56 D62:E62 D68:E68">
    <cfRule type="expression" dxfId="64" priority="37" stopIfTrue="1">
      <formula>$P$26=""</formula>
    </cfRule>
    <cfRule type="expression" dxfId="63" priority="38" stopIfTrue="1">
      <formula>IF(AND(OR($D$26="Yes",$D$26=""),D38=""),1,0)</formula>
    </cfRule>
  </conditionalFormatting>
  <conditionalFormatting sqref="G85:J85">
    <cfRule type="expression" dxfId="62" priority="31" stopIfTrue="1">
      <formula>IF(AND($D$85="Yes, using other format (describe)",$G$85=""),TRUE)</formula>
    </cfRule>
  </conditionalFormatting>
  <conditionalFormatting sqref="D39:E39 D51:E51 D57:E57 D63:E63 D69:E69">
    <cfRule type="expression" dxfId="61" priority="144" stopIfTrue="1">
      <formula>$P$39=""</formula>
    </cfRule>
    <cfRule type="expression" dxfId="60" priority="145" stopIfTrue="1">
      <formula>IF(AND(OR($D$27="Yes",$D$27=""),D39=""),1,0)</formula>
    </cfRule>
  </conditionalFormatting>
  <conditionalFormatting sqref="D33:E33">
    <cfRule type="expression" dxfId="59" priority="26" stopIfTrue="1">
      <formula>IF(AND(OR($D$27="Yes",$D$27=""),$D$33=""),1,0)</formula>
    </cfRule>
    <cfRule type="expression" dxfId="58" priority="27" stopIfTrue="1">
      <formula>$P$27=""</formula>
    </cfRule>
  </conditionalFormatting>
  <conditionalFormatting sqref="D34:E34">
    <cfRule type="expression" dxfId="57" priority="147" stopIfTrue="1">
      <formula>IF(AND(OR($D$28="Yes",$D$28=""),$D$34=""),1,0)</formula>
    </cfRule>
  </conditionalFormatting>
  <conditionalFormatting sqref="D41:E41 D53:E53 D59:E59 D65:E65 D71:E71">
    <cfRule type="expression" dxfId="56" priority="149" stopIfTrue="1">
      <formula>IF(AND(OR($D$29="Yes",$D$29=""),D41=""),1,0)</formula>
    </cfRule>
  </conditionalFormatting>
  <conditionalFormatting sqref="D35:E35">
    <cfRule type="expression" dxfId="55" priority="23" stopIfTrue="1">
      <formula>IF(AND(OR($D$29="Yes",$D$29=""),$D$35=""),1,0)</formula>
    </cfRule>
  </conditionalFormatting>
  <conditionalFormatting sqref="D20:J20">
    <cfRule type="expression" dxfId="54" priority="19" stopIfTrue="1">
      <formula>IF($D$20="",TRUE)</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8:J8">
    <cfRule type="expression" dxfId="41" priority="5" stopIfTrue="1">
      <formula>IF($D$8="",TRUE)</formula>
    </cfRule>
  </conditionalFormatting>
  <conditionalFormatting sqref="D15:J15">
    <cfRule type="expression" dxfId="40" priority="4" stopIfTrue="1">
      <formula>IF($D$15="",TRUE)</formula>
    </cfRule>
  </conditionalFormatting>
  <conditionalFormatting sqref="D17:J17">
    <cfRule type="expression" dxfId="39" priority="3" stopIfTrue="1">
      <formula>IF($D$17="",TRUE)</formula>
    </cfRule>
  </conditionalFormatting>
  <conditionalFormatting sqref="D18:J18">
    <cfRule type="expression" dxfId="38" priority="2" stopIfTrue="1">
      <formula>IF($D$18="",TRUE)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F58FDC8-F065-4F22-BA69-B4BA36F42929}"/>
    <hyperlink ref="D20" r:id="rId4" xr:uid="{A4278BEC-B8BC-43C7-BBEE-FB1B653EA3B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E3" zoomScaleNormal="100" zoomScalePageLayoutView="55" workbookViewId="0">
      <selection activeCell="I9" sqref="I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173.45"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15668</v>
      </c>
      <c r="B5" s="208" t="str">
        <f ca="1">IF(LEN(A5)=0,"",INDEX('Smelter Look-up'!$A:$A,MATCH($A5,'Smelter Look-up'!$E:$E,0)))</f>
        <v>Gold</v>
      </c>
      <c r="C5" s="212" t="str">
        <f ca="1">IF(LEN(A5)=0,"",INDEX('Smelter Look-up'!$C:$C,MATCH($A5,'Smelter Look-up'!$E:$E,0)))</f>
        <v>Metalor USA Refining Corporation</v>
      </c>
      <c r="D5" s="270"/>
      <c r="E5" s="208" t="str">
        <f ca="1">IF(ISERROR($V5),"",OFFSET('Smelter Look-up'!$D$4,$V5-4,0)&amp;"")</f>
        <v>UNITED STATES OF AMERICA</v>
      </c>
      <c r="F5" s="208" t="str">
        <f ca="1">IF(ISERROR($V5),"",OFFSET('Smelter Look-up'!$E$4,$V5-4,0))</f>
        <v>CID001157</v>
      </c>
      <c r="G5" s="208" t="str">
        <f ca="1">IF(C5=$X$4,IF(ISERROR($V5),"Enter smelter details","RMI"),IF(ISERROR($V5),"",OFFSET('Smelter Look-up'!$F$4,$V5-4,0)))</f>
        <v>RMI</v>
      </c>
      <c r="H5" s="359" t="s">
        <v>15669</v>
      </c>
      <c r="I5" s="210" t="str">
        <f ca="1">IF(ISERROR($V5),"",OFFSET('Smelter Look-up'!$H$4,$V5-4,0))</f>
        <v>North Attleboro</v>
      </c>
      <c r="J5" s="210" t="str">
        <f ca="1">IF(ISERROR($V5),"",OFFSET('Smelter Look-up'!$I$4,$V5-4,0))</f>
        <v>Massachusetts</v>
      </c>
      <c r="K5" s="360" t="s">
        <v>15670</v>
      </c>
      <c r="L5" s="361" t="s">
        <v>15671</v>
      </c>
      <c r="M5" s="260"/>
      <c r="N5" s="362" t="s">
        <v>15672</v>
      </c>
      <c r="O5" s="363" t="s">
        <v>15672</v>
      </c>
      <c r="P5" s="211" t="s">
        <v>489</v>
      </c>
      <c r="Q5" s="261" t="s">
        <v>15667</v>
      </c>
      <c r="R5" s="208" t="str">
        <f ca="1">IF(ISERROR($V5),"",OFFSET('Smelter Look-up'!$C$4,$V5-4,0)&amp;"")</f>
        <v>Metalor USA Refining Corporation</v>
      </c>
      <c r="S5" s="215" t="str">
        <f t="shared" ref="S5" ca="1" si="0">IF(B5="","",IF(ISERROR(MATCH($E5,CL,0)),"Unknown",INDIRECT("'C'!$A$"&amp;MATCH($E5,CL,0)+1)))</f>
        <v>US</v>
      </c>
      <c r="T5" s="215" t="str">
        <f ca="1">IF(B5="","",IF(ISERROR(MATCH($J5,SorP!$B$1:$B$6230,0)),"",INDIRECT("'SorP'!$A$"&amp;MATCH($J5,SorP!$B$1:$B$6230,0))))</f>
        <v>US-MA</v>
      </c>
      <c r="U5" s="231"/>
      <c r="V5" s="262">
        <f ca="1">IF(C5="",NA(),IF(OR(C5="Smelter not listed",C5="Smelter not yet identified"),MATCH($B5&amp;$D5,'Smelter Look-up'!$J:$J,0),MATCH($B5&amp;$C5,'Smelter Look-up'!$J:$J,0)))</f>
        <v>177</v>
      </c>
      <c r="W5" s="263"/>
      <c r="X5" s="263">
        <f t="shared" ref="X5" ca="1" si="1">IF(AND(C5="Smelter not listed",OR(LEN(D5)=0,LEN(E5)=0)),1,0)</f>
        <v>0</v>
      </c>
      <c r="Y5" s="263"/>
      <c r="Z5" s="263"/>
      <c r="AB5" s="265" t="str">
        <f t="shared" ref="AB5" ca="1" si="2">B5&amp;C5</f>
        <v>GoldMetalor USA Refining Corporation</v>
      </c>
    </row>
    <row r="6" spans="1:34" s="264" customFormat="1" ht="19.899999999999999" customHeight="1">
      <c r="A6" s="316" t="s">
        <v>15675</v>
      </c>
      <c r="B6" s="208" t="str">
        <f ca="1">IF(LEN(A6)=0,"",INDEX('Smelter Look-up'!$A:$A,MATCH($A6,'Smelter Look-up'!$E:$E,0)))</f>
        <v>Gold</v>
      </c>
      <c r="C6" s="212" t="str">
        <f ca="1">IF(LEN(A6)=0,"",INDEX('Smelter Look-up'!$C:$C,MATCH($A6,'Smelter Look-up'!$E:$E,0)))</f>
        <v>Heraeus Germany GmbH Co. KG</v>
      </c>
      <c r="D6" s="270"/>
      <c r="E6" s="208" t="str">
        <f ca="1">IF(ISERROR($V6),"",OFFSET('Smelter Look-up'!$D$4,$V6-4,0)&amp;"")</f>
        <v>GERMANY</v>
      </c>
      <c r="F6" s="208" t="str">
        <f ca="1">IF(ISERROR($V6),"",OFFSET('Smelter Look-up'!$E$4,$V6-4,0))</f>
        <v>CID000711</v>
      </c>
      <c r="G6" s="208" t="str">
        <f ca="1">IF(C6=$X$4,IF(ISERROR($V6),"Enter smelter details","RMI"),IF(ISERROR($V6),"",OFFSET('Smelter Look-up'!$F$4,$V6-4,0)))</f>
        <v>RMI</v>
      </c>
      <c r="H6" s="209">
        <f ca="1">IF(ISERROR($V6),"",OFFSET('Smelter Look-up'!$G$4,$V6-4,0))</f>
        <v>0</v>
      </c>
      <c r="I6" s="210" t="str">
        <f ca="1">IF(ISERROR($V6),"",OFFSET('Smelter Look-up'!$H$4,$V6-4,0))</f>
        <v>Hanau</v>
      </c>
      <c r="J6" s="210" t="str">
        <f ca="1">IF(ISERROR($V6),"",OFFSET('Smelter Look-up'!$I$4,$V6-4,0))</f>
        <v>Hessen</v>
      </c>
      <c r="K6" s="260"/>
      <c r="L6" s="260"/>
      <c r="M6" s="260"/>
      <c r="N6" s="260" t="s">
        <v>15677</v>
      </c>
      <c r="O6" s="260" t="s">
        <v>15677</v>
      </c>
      <c r="P6" s="211" t="s">
        <v>490</v>
      </c>
      <c r="Q6" s="261"/>
      <c r="R6" s="208" t="str">
        <f ca="1">IF(ISERROR($V6),"",OFFSET('Smelter Look-up'!$C$4,$V6-4,0)&amp;"")</f>
        <v>Heraeus Germany GmbH Co. KG</v>
      </c>
      <c r="S6" s="215" t="str">
        <f t="shared" ref="S6:S37" ca="1" si="3">IF(B6="","",IF(ISERROR(MATCH($E6,CL,0)),"Unknown",INDIRECT("'C'!$A$"&amp;MATCH($E6,CL,0)+1)))</f>
        <v>DE</v>
      </c>
      <c r="T6" s="215" t="str">
        <f ca="1">IF(B6="","",IF(ISERROR(MATCH($J6,SorP!$B$1:$B$6230,0)),"",INDIRECT("'SorP'!$A$"&amp;MATCH($J6,SorP!$B$1:$B$6230,0))))</f>
        <v>DE-HE</v>
      </c>
      <c r="U6" s="231"/>
      <c r="V6" s="262">
        <f ca="1">IF(C6="",NA(),IF(OR(C6="Smelter not listed",C6="Smelter not yet identified"),MATCH($B6&amp;$D6,'Smelter Look-up'!$J:$J,0),MATCH($B6&amp;$C6,'Smelter Look-up'!$J:$J,0)))</f>
        <v>106</v>
      </c>
      <c r="W6" s="263"/>
      <c r="X6" s="263">
        <f t="shared" ref="X6:X37" ca="1" si="4">IF(AND(C6="Smelter not listed",OR(LEN(D6)=0,LEN(E6)=0)),1,0)</f>
        <v>0</v>
      </c>
      <c r="Y6" s="263"/>
      <c r="Z6" s="263"/>
      <c r="AB6" s="265" t="str">
        <f t="shared" ref="AB6:AB37" ca="1" si="5">B6&amp;C6</f>
        <v>GoldHeraeus Germany GmbH Co. KG</v>
      </c>
    </row>
    <row r="7" spans="1:34" s="264" customFormat="1" ht="19.899999999999999" customHeight="1">
      <c r="A7" s="316" t="s">
        <v>15676</v>
      </c>
      <c r="B7" s="208" t="str">
        <f ca="1">IF(LEN(A7)=0,"",INDEX('Smelter Look-up'!$A:$A,MATCH($A7,'Smelter Look-up'!$E:$E,0)))</f>
        <v>Gold</v>
      </c>
      <c r="C7" s="212" t="str">
        <f ca="1">IF(LEN(A7)=0,"",INDEX('Smelter Look-up'!$C:$C,MATCH($A7,'Smelter Look-up'!$E:$E,0)))</f>
        <v>Asahi Refining USA Inc.</v>
      </c>
      <c r="D7" s="270"/>
      <c r="E7" s="208" t="str">
        <f ca="1">IF(ISERROR($V7),"",OFFSET('Smelter Look-up'!$D$4,$V7-4,0)&amp;"")</f>
        <v>UNITED STATES OF AMERICA</v>
      </c>
      <c r="F7" s="208" t="str">
        <f ca="1">IF(ISERROR($V7),"",OFFSET('Smelter Look-up'!$E$4,$V7-4,0))</f>
        <v>CID000920</v>
      </c>
      <c r="G7" s="208" t="str">
        <f ca="1">IF(C7=$X$4,IF(ISERROR($V7),"Enter smelter details","RMI"),IF(ISERROR($V7),"",OFFSET('Smelter Look-up'!$F$4,$V7-4,0)))</f>
        <v>RMI</v>
      </c>
      <c r="H7" s="209">
        <f ca="1">IF(ISERROR($V7),"",OFFSET('Smelter Look-up'!$G$4,$V7-4,0))</f>
        <v>0</v>
      </c>
      <c r="I7" s="210" t="str">
        <f ca="1">IF(ISERROR($V7),"",OFFSET('Smelter Look-up'!$H$4,$V7-4,0))</f>
        <v>Salt Lake City</v>
      </c>
      <c r="J7" s="210" t="str">
        <f ca="1">IF(ISERROR($V7),"",OFFSET('Smelter Look-up'!$I$4,$V7-4,0))</f>
        <v>Utah</v>
      </c>
      <c r="K7" s="260"/>
      <c r="L7" s="260"/>
      <c r="M7" s="260"/>
      <c r="N7" s="260" t="s">
        <v>15677</v>
      </c>
      <c r="O7" s="260" t="s">
        <v>15677</v>
      </c>
      <c r="P7" s="211" t="s">
        <v>490</v>
      </c>
      <c r="Q7" s="261"/>
      <c r="R7" s="208" t="str">
        <f ca="1">IF(ISERROR($V7),"",OFFSET('Smelter Look-up'!$C$4,$V7-4,0)&amp;"")</f>
        <v>Asahi Refining USA Inc.</v>
      </c>
      <c r="S7" s="215" t="str">
        <f t="shared" ca="1" si="3"/>
        <v>US</v>
      </c>
      <c r="T7" s="215" t="str">
        <f ca="1">IF(B7="","",IF(ISERROR(MATCH($J7,SorP!$B$1:$B$6230,0)),"",INDIRECT("'SorP'!$A$"&amp;MATCH($J7,SorP!$B$1:$B$6230,0))))</f>
        <v>US-UT</v>
      </c>
      <c r="U7" s="231"/>
      <c r="V7" s="262">
        <f ca="1">IF(C7="",NA(),IF(OR(C7="Smelter not listed",C7="Smelter not yet identified"),MATCH($B7&amp;$D7,'Smelter Look-up'!$J:$J,0),MATCH($B7&amp;$C7,'Smelter Look-up'!$J:$J,0)))</f>
        <v>31</v>
      </c>
      <c r="W7" s="263"/>
      <c r="X7" s="263">
        <f t="shared" ca="1" si="4"/>
        <v>0</v>
      </c>
      <c r="Y7" s="263"/>
      <c r="Z7" s="263"/>
      <c r="AB7" s="265" t="str">
        <f t="shared" ca="1" si="5"/>
        <v>GoldAsahi Refining USA Inc.</v>
      </c>
    </row>
    <row r="8" spans="1:34" s="264" customFormat="1" ht="19.899999999999999" customHeight="1">
      <c r="A8" s="316" t="s">
        <v>15678</v>
      </c>
      <c r="B8" s="208" t="str">
        <f ca="1">IF(LEN(A8)=0,"",INDEX('Smelter Look-up'!$A:$A,MATCH($A8,'Smelter Look-up'!$E:$E,0)))</f>
        <v>Gold</v>
      </c>
      <c r="C8" s="212" t="str">
        <f ca="1">IF(LEN(A8)=0,"",INDEX('Smelter Look-up'!$C:$C,MATCH($A8,'Smelter Look-up'!$E:$E,0)))</f>
        <v>Western Australian Mint (T/a The Perth Mint)</v>
      </c>
      <c r="D8" s="270"/>
      <c r="E8" s="208" t="str">
        <f ca="1">IF(ISERROR($V8),"",OFFSET('Smelter Look-up'!$D$4,$V8-4,0)&amp;"")</f>
        <v>AUSTRALIA</v>
      </c>
      <c r="F8" s="208" t="str">
        <f ca="1">IF(ISERROR($V8),"",OFFSET('Smelter Look-up'!$E$4,$V8-4,0))</f>
        <v>CID002030</v>
      </c>
      <c r="G8" s="208" t="str">
        <f ca="1">IF(C8=$X$4,IF(ISERROR($V8),"Enter smelter details","RMI"),IF(ISERROR($V8),"",OFFSET('Smelter Look-up'!$F$4,$V8-4,0)))</f>
        <v>RMI</v>
      </c>
      <c r="H8" s="209">
        <f ca="1">IF(ISERROR($V8),"",OFFSET('Smelter Look-up'!$G$4,$V8-4,0))</f>
        <v>0</v>
      </c>
      <c r="I8" s="210" t="str">
        <f ca="1">IF(ISERROR($V8),"",OFFSET('Smelter Look-up'!$H$4,$V8-4,0))</f>
        <v>Newburn</v>
      </c>
      <c r="J8" s="210" t="str">
        <f ca="1">IF(ISERROR($V8),"",OFFSET('Smelter Look-up'!$I$4,$V8-4,0))</f>
        <v>Western Australia</v>
      </c>
      <c r="K8" s="260"/>
      <c r="L8" s="260"/>
      <c r="M8" s="260"/>
      <c r="N8" s="260"/>
      <c r="O8" s="260"/>
      <c r="P8" s="211"/>
      <c r="Q8" s="261"/>
      <c r="R8" s="208" t="str">
        <f ca="1">IF(ISERROR($V8),"",OFFSET('Smelter Look-up'!$C$4,$V8-4,0)&amp;"")</f>
        <v>Western Australian Mint (T/a The Perth Mint)</v>
      </c>
      <c r="S8" s="215" t="str">
        <f t="shared" ca="1" si="3"/>
        <v>AU</v>
      </c>
      <c r="T8" s="215" t="str">
        <f ca="1">IF(B8="","",IF(ISERROR(MATCH($J8,SorP!$B$1:$B$6230,0)),"",INDIRECT("'SorP'!$A$"&amp;MATCH($J8,SorP!$B$1:$B$6230,0))))</f>
        <v>AU-WA</v>
      </c>
      <c r="U8" s="231"/>
      <c r="V8" s="262">
        <f ca="1">IF(C8="",NA(),IF(OR(C8="Smelter not listed",C8="Smelter not yet identified"),MATCH($B8&amp;$D8,'Smelter Look-up'!$J:$J,0),MATCH($B8&amp;$C8,'Smelter Look-up'!$J:$J,0)))</f>
        <v>298</v>
      </c>
      <c r="W8" s="263"/>
      <c r="X8" s="263">
        <f t="shared" ca="1" si="4"/>
        <v>0</v>
      </c>
      <c r="Y8" s="263"/>
      <c r="Z8" s="263"/>
      <c r="AB8" s="265" t="str">
        <f t="shared" ca="1" si="5"/>
        <v>GoldWestern Australian Mint (T/a The Perth Mint)</v>
      </c>
    </row>
    <row r="9" spans="1:34" s="264" customFormat="1" ht="19.899999999999999" customHeight="1">
      <c r="A9" s="316" t="s">
        <v>15679</v>
      </c>
      <c r="B9" s="208" t="str">
        <f ca="1">IF(LEN(A9)=0,"",INDEX('Smelter Look-up'!$A:$A,MATCH($A9,'Smelter Look-up'!$E:$E,0)))</f>
        <v>Gold</v>
      </c>
      <c r="C9" s="212" t="str">
        <f ca="1">IF(LEN(A9)=0,"",INDEX('Smelter Look-up'!$C:$C,MATCH($A9,'Smelter Look-up'!$E:$E,0)))</f>
        <v>Umicore S.A. Business Unit Precious Metals Refining</v>
      </c>
      <c r="D9" s="270"/>
      <c r="E9" s="208" t="str">
        <f ca="1">IF(ISERROR($V9),"",OFFSET('Smelter Look-up'!$D$4,$V9-4,0)&amp;"")</f>
        <v>BELGIUM</v>
      </c>
      <c r="F9" s="208" t="str">
        <f ca="1">IF(ISERROR($V9),"",OFFSET('Smelter Look-up'!$E$4,$V9-4,0))</f>
        <v>CID001980</v>
      </c>
      <c r="G9" s="208" t="str">
        <f ca="1">IF(C9=$X$4,IF(ISERROR($V9),"Enter smelter details","RMI"),IF(ISERROR($V9),"",OFFSET('Smelter Look-up'!$F$4,$V9-4,0)))</f>
        <v>RMI</v>
      </c>
      <c r="H9" s="209">
        <f ca="1">IF(ISERROR($V9),"",OFFSET('Smelter Look-up'!$G$4,$V9-4,0))</f>
        <v>0</v>
      </c>
      <c r="I9" s="210" t="str">
        <f ca="1">IF(ISERROR($V9),"",OFFSET('Smelter Look-up'!$H$4,$V9-4,0))</f>
        <v>Hoboken</v>
      </c>
      <c r="J9" s="210" t="str">
        <f ca="1">IF(ISERROR($V9),"",OFFSET('Smelter Look-up'!$I$4,$V9-4,0))</f>
        <v>Antwerpen</v>
      </c>
      <c r="K9" s="260"/>
      <c r="L9" s="260"/>
      <c r="M9" s="260"/>
      <c r="N9" s="260"/>
      <c r="O9" s="260"/>
      <c r="P9" s="211"/>
      <c r="Q9" s="261"/>
      <c r="R9" s="208" t="str">
        <f ca="1">IF(ISERROR($V9),"",OFFSET('Smelter Look-up'!$C$4,$V9-4,0)&amp;"")</f>
        <v>Umicore S.A. Business Unit Precious Metals Refining</v>
      </c>
      <c r="S9" s="215" t="str">
        <f t="shared" ca="1" si="3"/>
        <v>BE</v>
      </c>
      <c r="T9" s="215" t="str">
        <f ca="1">IF(B9="","",IF(ISERROR(MATCH($J9,SorP!$B$1:$B$6230,0)),"",INDIRECT("'SorP'!$A$"&amp;MATCH($J9,SorP!$B$1:$B$6230,0))))</f>
        <v>BE-VAN</v>
      </c>
      <c r="U9" s="231"/>
      <c r="V9" s="262">
        <f ca="1">IF(C9="",NA(),IF(OR(C9="Smelter not listed",C9="Smelter not yet identified"),MATCH($B9&amp;$D9,'Smelter Look-up'!$J:$J,0),MATCH($B9&amp;$C9,'Smelter Look-up'!$J:$J,0)))</f>
        <v>293</v>
      </c>
      <c r="W9" s="263"/>
      <c r="X9" s="263">
        <f t="shared" ca="1" si="4"/>
        <v>0</v>
      </c>
      <c r="Y9" s="263"/>
      <c r="Z9" s="263"/>
      <c r="AB9" s="265" t="str">
        <f t="shared" ca="1" si="5"/>
        <v>GoldUmicore S.A. Business Unit Precious Metals Refining</v>
      </c>
    </row>
    <row r="10" spans="1:34" s="264" customFormat="1" ht="19.899999999999999" customHeight="1">
      <c r="A10" s="316" t="s">
        <v>15680</v>
      </c>
      <c r="B10" s="208" t="str">
        <f ca="1">IF(LEN(A10)=0,"",INDEX('Smelter Look-up'!$A:$A,MATCH($A10,'Smelter Look-up'!$E:$E,0)))</f>
        <v>Gold</v>
      </c>
      <c r="C10" s="212" t="str">
        <f ca="1">IF(LEN(A10)=0,"",INDEX('Smelter Look-up'!$C:$C,MATCH($A10,'Smelter Look-up'!$E:$E,0)))</f>
        <v>WIELAND Edelmetalle GmbH</v>
      </c>
      <c r="D10" s="270"/>
      <c r="E10" s="208" t="str">
        <f ca="1">IF(ISERROR($V10),"",OFFSET('Smelter Look-up'!$D$4,$V10-4,0)&amp;"")</f>
        <v>GERMANY</v>
      </c>
      <c r="F10" s="208" t="str">
        <f ca="1">IF(ISERROR($V10),"",OFFSET('Smelter Look-up'!$E$4,$V10-4,0))</f>
        <v>CID002778</v>
      </c>
      <c r="G10" s="208" t="str">
        <f ca="1">IF(C10=$X$4,IF(ISERROR($V10),"Enter smelter details","RMI"),IF(ISERROR($V10),"",OFFSET('Smelter Look-up'!$F$4,$V10-4,0)))</f>
        <v>RMI</v>
      </c>
      <c r="H10" s="209">
        <f ca="1">IF(ISERROR($V10),"",OFFSET('Smelter Look-up'!$G$4,$V10-4,0))</f>
        <v>0</v>
      </c>
      <c r="I10" s="210" t="str">
        <f ca="1">IF(ISERROR($V10),"",OFFSET('Smelter Look-up'!$H$4,$V10-4,0))</f>
        <v>Pforzheim</v>
      </c>
      <c r="J10" s="210" t="str">
        <f ca="1">IF(ISERROR($V10),"",OFFSET('Smelter Look-up'!$I$4,$V10-4,0))</f>
        <v>Baden-Württemberg</v>
      </c>
      <c r="K10" s="260"/>
      <c r="L10" s="260"/>
      <c r="M10" s="260"/>
      <c r="N10" s="260"/>
      <c r="O10" s="260"/>
      <c r="P10" s="211"/>
      <c r="Q10" s="261"/>
      <c r="R10" s="208" t="str">
        <f ca="1">IF(ISERROR($V10),"",OFFSET('Smelter Look-up'!$C$4,$V10-4,0)&amp;"")</f>
        <v>WIELAND Edelmetalle GmbH</v>
      </c>
      <c r="S10" s="215" t="str">
        <f t="shared" ca="1" si="3"/>
        <v>DE</v>
      </c>
      <c r="T10" s="215" t="str">
        <f ca="1">IF(B10="","",IF(ISERROR(MATCH($J10,SorP!$B$1:$B$6230,0)),"",INDIRECT("'SorP'!$A$"&amp;MATCH($J10,SorP!$B$1:$B$6230,0))))</f>
        <v>DE-BW</v>
      </c>
      <c r="U10" s="231"/>
      <c r="V10" s="262">
        <f ca="1">IF(C10="",NA(),IF(OR(C10="Smelter not listed",C10="Smelter not yet identified"),MATCH($B10&amp;$D10,'Smelter Look-up'!$J:$J,0),MATCH($B10&amp;$C10,'Smelter Look-up'!$J:$J,0)))</f>
        <v>299</v>
      </c>
      <c r="W10" s="263"/>
      <c r="X10" s="263">
        <f t="shared" ca="1" si="4"/>
        <v>0</v>
      </c>
      <c r="Y10" s="263"/>
      <c r="Z10" s="263"/>
      <c r="AB10" s="265" t="str">
        <f t="shared" ca="1" si="5"/>
        <v>GoldWIELAND Edelmetalle GmbH</v>
      </c>
    </row>
    <row r="11" spans="1:34" s="264" customFormat="1" ht="19.899999999999999" customHeight="1">
      <c r="A11" s="316" t="s">
        <v>15681</v>
      </c>
      <c r="B11" s="208" t="str">
        <f ca="1">IF(LEN(A11)=0,"",INDEX('Smelter Look-up'!$A:$A,MATCH($A11,'Smelter Look-up'!$E:$E,0)))</f>
        <v>Gold</v>
      </c>
      <c r="C11" s="212" t="str">
        <f ca="1">IF(LEN(A11)=0,"",INDEX('Smelter Look-up'!$C:$C,MATCH($A11,'Smelter Look-up'!$E:$E,0)))</f>
        <v>Tanaka Kikinzoku Kogyo K.K.</v>
      </c>
      <c r="D11" s="270"/>
      <c r="E11" s="208" t="str">
        <f ca="1">IF(ISERROR($V11),"",OFFSET('Smelter Look-up'!$D$4,$V11-4,0)&amp;"")</f>
        <v>JAPAN</v>
      </c>
      <c r="F11" s="208" t="str">
        <f ca="1">IF(ISERROR($V11),"",OFFSET('Smelter Look-up'!$E$4,$V11-4,0))</f>
        <v>CID001875</v>
      </c>
      <c r="G11" s="208" t="str">
        <f ca="1">IF(C11=$X$4,IF(ISERROR($V11),"Enter smelter details","RMI"),IF(ISERROR($V11),"",OFFSET('Smelter Look-up'!$F$4,$V11-4,0)))</f>
        <v>RMI</v>
      </c>
      <c r="H11" s="209">
        <f ca="1">IF(ISERROR($V11),"",OFFSET('Smelter Look-up'!$G$4,$V11-4,0))</f>
        <v>0</v>
      </c>
      <c r="I11" s="210" t="str">
        <f ca="1">IF(ISERROR($V11),"",OFFSET('Smelter Look-up'!$H$4,$V11-4,0))</f>
        <v>Hiratsuka</v>
      </c>
      <c r="J11" s="210" t="str">
        <f ca="1">IF(ISERROR($V11),"",OFFSET('Smelter Look-up'!$I$4,$V11-4,0))</f>
        <v>Kanagawa</v>
      </c>
      <c r="K11" s="260"/>
      <c r="L11" s="260"/>
      <c r="M11" s="260"/>
      <c r="N11" s="260"/>
      <c r="O11" s="260"/>
      <c r="P11" s="211"/>
      <c r="Q11" s="261"/>
      <c r="R11" s="208" t="str">
        <f ca="1">IF(ISERROR($V11),"",OFFSET('Smelter Look-up'!$C$4,$V11-4,0)&amp;"")</f>
        <v>Tanaka Kikinzoku Kogyo K.K.</v>
      </c>
      <c r="S11" s="215" t="str">
        <f t="shared" ca="1" si="3"/>
        <v>JP</v>
      </c>
      <c r="T11" s="215" t="str">
        <f ca="1">IF(B11="","",IF(ISERROR(MATCH($J11,SorP!$B$1:$B$6230,0)),"",INDIRECT("'SorP'!$A$"&amp;MATCH($J11,SorP!$B$1:$B$6230,0))))</f>
        <v>JP-14</v>
      </c>
      <c r="U11" s="231"/>
      <c r="V11" s="262">
        <f ca="1">IF(C11="",NA(),IF(OR(C11="Smelter not listed",C11="Smelter not yet identified"),MATCH($B11&amp;$D11,'Smelter Look-up'!$J:$J,0),MATCH($B11&amp;$C11,'Smelter Look-up'!$J:$J,0)))</f>
        <v>278</v>
      </c>
      <c r="W11" s="263"/>
      <c r="X11" s="263">
        <f t="shared" ca="1" si="4"/>
        <v>0</v>
      </c>
      <c r="Y11" s="263"/>
      <c r="Z11" s="263"/>
      <c r="AB11" s="265" t="str">
        <f t="shared" ca="1" si="5"/>
        <v>GoldTanaka Kikinzoku Kogyo K.K.</v>
      </c>
    </row>
    <row r="12" spans="1:34" s="264" customFormat="1" ht="19.899999999999999" customHeight="1">
      <c r="A12" s="316" t="s">
        <v>15682</v>
      </c>
      <c r="B12" s="208" t="str">
        <f ca="1">IF(LEN(A12)=0,"",INDEX('Smelter Look-up'!$A:$A,MATCH($A12,'Smelter Look-up'!$E:$E,0)))</f>
        <v>Gold</v>
      </c>
      <c r="C12" s="212" t="s">
        <v>2330</v>
      </c>
      <c r="D12" s="270"/>
      <c r="E12" s="208" t="str">
        <f ca="1">IF(ISERROR($V12),"",OFFSET('Smelter Look-up'!$D$4,$V12-4,0)&amp;"")</f>
        <v>MEXICO</v>
      </c>
      <c r="F12" s="208" t="str">
        <f ca="1">IF(ISERROR($V12),"",OFFSET('Smelter Look-up'!$E$4,$V12-4,0))</f>
        <v>CID001161</v>
      </c>
      <c r="G12" s="208" t="str">
        <f ca="1">IF(C12=$X$4,IF(ISERROR($V12),"Enter smelter details","RMI"),IF(ISERROR($V12),"",OFFSET('Smelter Look-up'!$F$4,$V12-4,0)))</f>
        <v>RMI</v>
      </c>
      <c r="H12" s="209">
        <f ca="1">IF(ISERROR($V12),"",OFFSET('Smelter Look-up'!$G$4,$V12-4,0))</f>
        <v>0</v>
      </c>
      <c r="I12" s="210" t="str">
        <f ca="1">IF(ISERROR($V12),"",OFFSET('Smelter Look-up'!$H$4,$V12-4,0))</f>
        <v>Torreon</v>
      </c>
      <c r="J12" s="210" t="str">
        <f ca="1">IF(ISERROR($V12),"",OFFSET('Smelter Look-up'!$I$4,$V12-4,0))</f>
        <v>Coahuila de Zaragoza</v>
      </c>
      <c r="K12" s="260"/>
      <c r="L12" s="260"/>
      <c r="M12" s="260"/>
      <c r="N12" s="260"/>
      <c r="O12" s="260"/>
      <c r="P12" s="211"/>
      <c r="Q12" s="261"/>
      <c r="R12" s="208" t="str">
        <f ca="1">IF(ISERROR($V12),"",OFFSET('Smelter Look-up'!$C$4,$V12-4,0)&amp;"")</f>
        <v>Metalurgica Met-Mex Penoles S.A. De C.V.</v>
      </c>
      <c r="S12" s="215" t="str">
        <f t="shared" ca="1" si="3"/>
        <v>MX</v>
      </c>
      <c r="T12" s="215" t="str">
        <f ca="1">IF(B12="","",IF(ISERROR(MATCH($J12,SorP!$B$1:$B$6230,0)),"",INDIRECT("'SorP'!$A$"&amp;MATCH($J12,SorP!$B$1:$B$6230,0))))</f>
        <v>MX-COA</v>
      </c>
      <c r="U12" s="231"/>
      <c r="V12" s="262">
        <f ca="1">IF(C12="",NA(),IF(OR(C12="Smelter not listed",C12="Smelter not yet identified"),MATCH($B12&amp;$D12,'Smelter Look-up'!$J:$J,0),MATCH($B12&amp;$C12,'Smelter Look-up'!$J:$J,0)))</f>
        <v>180</v>
      </c>
      <c r="W12" s="263"/>
      <c r="X12" s="263">
        <f t="shared" ca="1" si="4"/>
        <v>0</v>
      </c>
      <c r="Y12" s="263"/>
      <c r="Z12" s="263"/>
      <c r="AB12" s="265" t="str">
        <f t="shared" ca="1" si="5"/>
        <v>GoldMet-Mex Pe?oles, S.A.</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05558E-3FEA-43AE-B5B9-6718B737C91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Precious Metal Sales,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Krista Upson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krista@pmsalesinc.com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8602748813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Anthony Luccaro</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here4u@pmsalesinc.com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0</v>
      </c>
      <c r="G66" s="78">
        <f ca="1">IF(AND(COUNTIF(SmelterIdetifiedForMetal,"Tin")&gt;0,COUNTIF('Smelter List'!AB$5:AB$2504,"Tin?*")&gt;0),0,1)</f>
        <v>1</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8" t="s">
        <v>898</v>
      </c>
      <c r="C4" s="458"/>
      <c r="D4" s="45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1" t="str">
        <f ca="1">OFFSET(L!$C$1,MATCH("General"&amp;"Cpy",L!$A:$A,0)-1,SL,,)</f>
        <v>© 2022 Responsible Minerals Initiative. All rights reserved.</v>
      </c>
      <c r="C2006" s="461"/>
      <c r="D2006" s="461"/>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Fllonxa Dalipi</cp:lastModifiedBy>
  <cp:lastPrinted>2015-04-21T20:47:43Z</cp:lastPrinted>
  <dcterms:created xsi:type="dcterms:W3CDTF">2010-06-21T21:00:23Z</dcterms:created>
  <dcterms:modified xsi:type="dcterms:W3CDTF">2022-06-24T15:06:58Z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