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fllonxa\Desktop\"/>
    </mc:Choice>
  </mc:AlternateContent>
  <xr:revisionPtr revIDLastSave="0" documentId="8_{1D3FCD1F-75DA-47B4-8712-251EEED5C48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 i="4" l="1"/>
  <c r="E4" i="8"/>
  <c r="B5" i="5"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X75" i="5" s="1"/>
  <c r="V76" i="5"/>
  <c r="E76" i="5"/>
  <c r="V77" i="5"/>
  <c r="E77" i="5"/>
  <c r="V78" i="5"/>
  <c r="E78" i="5"/>
  <c r="V79" i="5"/>
  <c r="E79" i="5"/>
  <c r="X79" i="5" s="1"/>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X107" i="5" s="1"/>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X123" i="5" s="1"/>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X171" i="5" s="1"/>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X235" i="5" s="1"/>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X271" i="5" s="1"/>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X291" i="5" s="1"/>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X1027" i="5" s="1"/>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X1059" i="5" s="1"/>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X1111" i="5" s="1"/>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X1143" i="5" s="1"/>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X1939" i="5" s="1"/>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X2351" i="5" s="1"/>
  <c r="V2352" i="5"/>
  <c r="E2352" i="5"/>
  <c r="V2353" i="5"/>
  <c r="E2353" i="5"/>
  <c r="V2354" i="5"/>
  <c r="E2354" i="5"/>
  <c r="V2355" i="5"/>
  <c r="E2355" i="5"/>
  <c r="X2355" i="5" s="1"/>
  <c r="V2356" i="5"/>
  <c r="E2356" i="5"/>
  <c r="V2357" i="5"/>
  <c r="E2357" i="5"/>
  <c r="V2358" i="5"/>
  <c r="E2358" i="5"/>
  <c r="V2359" i="5"/>
  <c r="E2359" i="5"/>
  <c r="X2359" i="5" s="1"/>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X2443" i="5" s="1"/>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B59" i="4"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C29" i="6" s="1"/>
  <c r="I30" i="6"/>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C9" i="6" s="1"/>
  <c r="I10" i="6"/>
  <c r="C10" i="6" s="1"/>
  <c r="I11" i="6"/>
  <c r="C11" i="6" s="1"/>
  <c r="I12" i="6"/>
  <c r="J22" i="6"/>
  <c r="J34" i="6"/>
  <c r="I35" i="6"/>
  <c r="C35" i="6" s="1"/>
  <c r="J42" i="6"/>
  <c r="J50" i="6"/>
  <c r="I51" i="6"/>
  <c r="C51" i="6" s="1"/>
  <c r="J59" i="6"/>
  <c r="I60" i="6"/>
  <c r="C60" i="6" s="1"/>
  <c r="C5" i="7"/>
  <c r="D1" i="6"/>
  <c r="J6" i="6"/>
  <c r="J7" i="6"/>
  <c r="J8" i="6"/>
  <c r="C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I15" i="6"/>
  <c r="C15" i="6" s="1"/>
  <c r="I16" i="6"/>
  <c r="C16" i="6" s="1"/>
  <c r="I17" i="6"/>
  <c r="C17" i="6" s="1"/>
  <c r="J24" i="6"/>
  <c r="I25" i="6"/>
  <c r="C25" i="6" s="1"/>
  <c r="J36" i="6"/>
  <c r="I37" i="6"/>
  <c r="C37" i="6" s="1"/>
  <c r="J44" i="6"/>
  <c r="I45" i="6"/>
  <c r="C45" i="6" s="1"/>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71" i="4"/>
  <c r="A52" i="6" s="1"/>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D29" i="6"/>
  <c r="H30" i="6"/>
  <c r="AB12" i="5"/>
  <c r="AB9" i="5"/>
  <c r="AB10" i="5"/>
  <c r="AB14" i="5"/>
  <c r="AB17" i="5"/>
  <c r="AB16" i="5"/>
  <c r="AB8" i="5"/>
  <c r="AB13" i="5"/>
  <c r="AB15" i="5"/>
  <c r="AB11" i="5"/>
  <c r="AB7" i="5"/>
  <c r="H49" i="6"/>
  <c r="D49" i="6"/>
  <c r="H34" i="6"/>
  <c r="H32" i="6"/>
  <c r="D19" i="6"/>
  <c r="C19" i="6"/>
  <c r="K65" i="6"/>
  <c r="D24" i="6"/>
  <c r="X100" i="5"/>
  <c r="D27" i="6"/>
  <c r="C27" i="6"/>
  <c r="C20"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46" i="6"/>
  <c r="D34" i="6"/>
  <c r="D31" i="6"/>
  <c r="C30" i="6"/>
  <c r="D30" i="6"/>
  <c r="D32" i="6"/>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7" i="6"/>
  <c r="D60" i="6"/>
  <c r="D58" i="6"/>
  <c r="D63" i="6"/>
  <c r="C63" i="6"/>
  <c r="D62" i="6"/>
  <c r="D54" i="6"/>
  <c r="D57" i="6"/>
  <c r="F56" i="6"/>
  <c r="H56" i="6"/>
  <c r="H55" i="6"/>
  <c r="D59" i="6"/>
  <c r="T15" i="5"/>
  <c r="T16" i="5"/>
  <c r="T13" i="5"/>
  <c r="T17" i="5"/>
  <c r="T14" i="5"/>
  <c r="T12" i="5"/>
  <c r="T10" i="5"/>
  <c r="T7" i="5"/>
  <c r="T9" i="5"/>
  <c r="T11" i="5"/>
  <c r="T8" i="5"/>
  <c r="X13" i="5"/>
  <c r="X10" i="5"/>
  <c r="X9" i="5"/>
  <c r="X12" i="5"/>
  <c r="X14" i="5"/>
  <c r="X17" i="5"/>
  <c r="X11" i="5"/>
  <c r="X15" i="5"/>
  <c r="X8" i="5"/>
  <c r="X7" i="5"/>
  <c r="X16" i="5"/>
  <c r="D55" i="6"/>
  <c r="C55" i="6"/>
  <c r="D56" i="6"/>
  <c r="C56" i="6"/>
  <c r="S17" i="5"/>
  <c r="S12" i="5"/>
  <c r="S16" i="5"/>
  <c r="S15" i="5"/>
  <c r="S13" i="5"/>
  <c r="S14" i="5"/>
  <c r="S10" i="5"/>
  <c r="S11" i="5"/>
  <c r="S8" i="5"/>
  <c r="S9" i="5"/>
  <c r="S7" i="5"/>
  <c r="G64" i="6" a="1"/>
  <c r="G67" i="4" l="1"/>
  <c r="G37" i="4"/>
  <c r="G43" i="4"/>
  <c r="G49" i="4"/>
  <c r="B33" i="4"/>
  <c r="A20" i="6" s="1"/>
  <c r="G31" i="4"/>
  <c r="G74" i="4"/>
  <c r="G61" i="4"/>
  <c r="C5" i="5"/>
  <c r="F69" i="6" s="1"/>
  <c r="C69" i="6" s="1"/>
  <c r="G64" i="6"/>
  <c r="B34" i="4"/>
  <c r="A21" i="6" s="1"/>
  <c r="B65" i="4"/>
  <c r="A47" i="6" s="1"/>
  <c r="B57" i="4"/>
  <c r="A40" i="6" s="1"/>
  <c r="B53" i="4"/>
  <c r="A37" i="6" s="1"/>
  <c r="V5" i="5" l="1"/>
  <c r="I5" i="5" s="1"/>
  <c r="AB5" i="5"/>
  <c r="H64" i="6"/>
  <c r="B64" i="6"/>
  <c r="E5" i="5" l="1"/>
  <c r="R5" i="5"/>
  <c r="F5" i="5"/>
  <c r="G5" i="5"/>
  <c r="J5" i="5"/>
  <c r="G65" i="6"/>
  <c r="H65" i="6" s="1"/>
  <c r="G67" i="6"/>
  <c r="H67" i="6" s="1"/>
  <c r="G66" i="6"/>
  <c r="H66" i="6" s="1"/>
  <c r="G68" i="6"/>
  <c r="H68" i="6" s="1"/>
  <c r="D64" i="6"/>
  <c r="C64" i="6"/>
  <c r="G69" i="6" a="1"/>
  <c r="G69" i="6" s="1"/>
  <c r="H69" i="6" s="1"/>
  <c r="H70" i="6" s="1"/>
  <c r="D2" i="6" s="1"/>
  <c r="X5" i="5"/>
  <c r="T5" i="5"/>
  <c r="S5" i="5"/>
  <c r="D68" i="6" l="1"/>
  <c r="C68" i="6"/>
  <c r="C66" i="6"/>
  <c r="D66" i="6"/>
  <c r="C67" i="6"/>
  <c r="D67" i="6"/>
  <c r="C65" i="6"/>
  <c r="D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<sst xmlns="http://schemas.openxmlformats.org/spreadsheetml/2006/main" count="22157" uniqueCount="15675">
  <si>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</si>
  <si>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</si>
  <si>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</si>
  <si>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</si>
  <si>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</si>
  <si>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</si>
  <si>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</si>
  <si>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</si>
  <si>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</si>
  <si>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</si>
  <si>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</si>
  <si>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</si>
  <si>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</si>
  <si>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</si>
  <si>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</si>
  <si>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</si>
  <si>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</si>
  <si>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</si>
  <si>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</si>
  <si>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</si>
  <si>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</si>
  <si>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</si>
  <si>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</si>
  <si>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</si>
  <si>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</si>
  <si>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</si>
  <si>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</si>
  <si>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</si>
  <si>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</si>
  <si>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</si>
  <si>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</si>
  <si>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</si>
  <si>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</si>
  <si>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</si>
  <si>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</si>
  <si>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</si>
  <si>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</si>
  <si>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</si>
  <si>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</si>
  <si>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</si>
  <si>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</si>
  <si>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</si>
  <si>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</si>
  <si>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</si>
  <si>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</si>
  <si>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</si>
  <si>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</si>
  <si>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</si>
  <si>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</si>
  <si>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</si>
  <si>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</si>
  <si>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</si>
  <si>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</si>
  <si>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</si>
  <si>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</si>
  <si>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</si>
  <si>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</si>
  <si>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</si>
  <si>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</si>
  <si>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</si>
  <si>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</si>
  <si>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</si>
  <si>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</si>
  <si>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</si>
  <si>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</si>
  <si>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</si>
  <si>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</si>
  <si>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</si>
  <si>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</si>
  <si>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</si>
  <si>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</si>
  <si>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</si>
  <si>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</si>
  <si>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</si>
  <si>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</si>
  <si>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</si>
  <si>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</si>
  <si>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</si>
  <si>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</si>
  <si>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</si>
  <si>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</si>
  <si>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</si>
  <si>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</si>
  <si>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</si>
  <si>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</si>
  <si>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</si>
  <si>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</si>
  <si>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</si>
  <si>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</si>
  <si>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</si>
  <si>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</si>
  <si>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</si>
  <si>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</si>
  <si>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</si>
  <si>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</si>
  <si>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</si>
  <si>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</si>
  <si>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</si>
  <si>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</si>
  <si>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</si>
  <si>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</si>
  <si>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</si>
  <si>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</si>
  <si>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</si>
  <si>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</si>
  <si>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</si>
  <si>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</si>
  <si>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</si>
  <si>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</si>
  <si>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</si>
  <si>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</si>
  <si>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</si>
  <si>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</si>
  <si>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</si>
  <si>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</si>
  <si>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</si>
  <si>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</si>
  <si>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</si>
  <si>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</si>
  <si>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</si>
  <si>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</si>
  <si>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</si>
  <si>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</si>
  <si>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</si>
  <si>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</si>
  <si>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</si>
  <si>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</si>
  <si>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</si>
  <si>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</si>
  <si>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</si>
  <si>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</si>
  <si>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</si>
  <si>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</si>
  <si>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</si>
  <si>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</si>
  <si>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</si>
  <si>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</si>
  <si>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</si>
  <si>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</si>
  <si>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</si>
  <si>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</si>
  <si>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</si>
  <si>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</si>
  <si>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</si>
  <si>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</si>
  <si>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</si>
  <si>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</si>
  <si>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</si>
  <si>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</si>
  <si>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</si>
  <si>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</si>
  <si>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</si>
  <si>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</si>
  <si>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</si>
  <si>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</si>
  <si>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</si>
  <si>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</si>
  <si>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</si>
  <si>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</si>
  <si>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</si>
  <si>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</si>
  <si>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</si>
  <si>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</si>
  <si>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</si>
  <si>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</si>
  <si>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</si>
  <si>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</si>
  <si>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</si>
  <si>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</si>
  <si>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</si>
  <si>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</si>
  <si>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</si>
  <si>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</si>
  <si>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</si>
  <si>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</si>
  <si>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</si>
  <si>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</si>
  <si>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</si>
  <si>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</si>
  <si>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</si>
  <si>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</si>
  <si>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</si>
  <si>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</si>
  <si>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</si>
  <si>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</si>
  <si>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</si>
  <si>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</si>
  <si>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</si>
  <si>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</si>
  <si>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</si>
  <si>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</si>
  <si>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</si>
  <si>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</si>
  <si>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</si>
  <si>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</si>
  <si>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</si>
  <si>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</si>
  <si>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</si>
  <si>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</si>
  <si>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</si>
  <si>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</si>
  <si>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</si>
  <si>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</si>
  <si>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</si>
  <si>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</si>
  <si>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</si>
  <si>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</si>
  <si>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</si>
  <si>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</si>
  <si>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</si>
  <si>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</si>
  <si>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</si>
  <si>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</si>
  <si>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</si>
  <si>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</si>
  <si>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</si>
  <si>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</si>
  <si>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</si>
  <si>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</si>
  <si>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</si>
  <si>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</si>
  <si>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</si>
  <si>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</si>
  <si>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</si>
  <si>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</si>
  <si>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</si>
  <si>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</si>
  <si>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</si>
  <si>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</si>
  <si>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</si>
  <si>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</si>
  <si>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</si>
  <si>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</si>
  <si>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</si>
  <si>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</si>
  <si>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</si>
  <si>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</si>
  <si>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</si>
  <si>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</si>
  <si>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</si>
  <si>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</si>
  <si>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</si>
  <si>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</si>
  <si>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</si>
  <si>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</si>
  <si>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</si>
  <si>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</si>
  <si>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</si>
  <si>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</si>
  <si>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</si>
  <si>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</si>
  <si>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</si>
  <si>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</si>
  <si>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</si>
  <si>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</si>
  <si>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</si>
  <si>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</si>
  <si>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</si>
  <si>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</si>
  <si>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</si>
  <si>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</si>
  <si>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</si>
  <si>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</si>
  <si>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</si>
  <si>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</si>
  <si>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</si>
  <si>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</si>
  <si>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</si>
  <si>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</si>
  <si>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</si>
  <si>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</si>
  <si>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</si>
  <si>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</si>
  <si>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</si>
  <si>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</si>
  <si>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</si>
  <si>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</si>
  <si>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</si>
  <si>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</si>
  <si>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</si>
  <si>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</si>
  <si>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</si>
  <si>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</si>
  <si>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</si>
  <si>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</si>
  <si>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</si>
  <si>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</si>
  <si>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</si>
  <si>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</si>
  <si>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</si>
  <si>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</si>
  <si>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</si>
  <si>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</si>
  <si>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</si>
  <si>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</si>
  <si>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</si>
  <si>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</si>
  <si>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</si>
  <si>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</si>
  <si>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</si>
  <si>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</si>
  <si>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</si>
  <si>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</si>
  <si>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</si>
  <si>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</si>
  <si>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</si>
  <si>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</si>
  <si>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</si>
  <si>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</si>
  <si>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</si>
  <si>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</si>
  <si>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</si>
  <si>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</si>
  <si>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</si>
  <si>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</si>
  <si>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</si>
  <si>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</si>
  <si>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</si>
  <si>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</si>
  <si>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</si>
  <si>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</si>
  <si>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</si>
  <si>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</si>
  <si>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</si>
  <si>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</si>
  <si>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</si>
  <si>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</si>
  <si>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</si>
  <si>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</si>
  <si>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</si>
  <si>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</si>
  <si>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</si>
  <si>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</si>
  <si>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</si>
  <si>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</si>
  <si>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</si>
  <si>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</si>
  <si>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</si>
  <si>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</si>
  <si>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</si>
  <si>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</si>
  <si>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</si>
  <si>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</si>
  <si>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</si>
  <si>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</si>
  <si>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</si>
  <si>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</si>
  <si>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</si>
  <si>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</si>
  <si>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</si>
  <si>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</si>
  <si>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</si>
  <si>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</si>
  <si>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</si>
  <si>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</si>
  <si>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</si>
  <si>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</si>
  <si>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</si>
  <si>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</si>
  <si>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</si>
  <si>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</si>
  <si>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</si>
  <si>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</si>
  <si>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</si>
  <si>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</si>
  <si>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</si>
  <si>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</si>
  <si>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</si>
  <si>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</si>
  <si>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</si>
  <si>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</si>
  <si>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</si>
  <si>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</si>
  <si>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</si>
  <si>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</si>
  <si>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</si>
  <si>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</si>
  <si>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</si>
  <si>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</si>
  <si>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</si>
  <si>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</si>
  <si>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</si>
  <si>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</si>
  <si>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</si>
  <si>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</si>
  <si>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</si>
  <si>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</si>
  <si>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</si>
  <si>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</si>
  <si>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</si>
  <si>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</si>
  <si>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</si>
  <si>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</si>
  <si>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</si>
  <si>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</si>
  <si>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</si>
  <si>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</si>
  <si>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</si>
  <si>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</si>
  <si>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</si>
  <si>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</si>
  <si>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</si>
  <si>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</si>
  <si>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</si>
  <si>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</si>
  <si>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</si>
  <si>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</si>
  <si>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</si>
  <si>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</si>
  <si>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</si>
  <si>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</si>
  <si>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</si>
  <si>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</si>
  <si>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</si>
  <si>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</si>
  <si>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</si>
  <si>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</si>
  <si>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</si>
  <si>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</si>
  <si>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</si>
  <si>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</si>
  <si>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</si>
  <si>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</si>
  <si>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</si>
  <si>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</si>
  <si>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</si>
  <si>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</si>
  <si>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</si>
  <si>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</si>
  <si>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</si>
  <si>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</si>
  <si>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</si>
  <si>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</si>
  <si>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</si>
  <si>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</si>
  <si>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</si>
  <si>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</si>
  <si>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</si>
  <si>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</si>
  <si>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</si>
  <si>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</si>
  <si>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</si>
  <si>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</si>
  <si>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</si>
  <si>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</si>
  <si>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</si>
  <si>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</si>
  <si>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</si>
  <si>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</si>
  <si>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</si>
  <si>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</si>
  <si>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</si>
  <si>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</si>
  <si>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</si>
  <si>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</si>
  <si>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</si>
  <si>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</si>
  <si>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</si>
  <si>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</si>
  <si>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</si>
  <si>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</si>
  <si>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</si>
  <si>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</si>
  <si>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</si>
  <si>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</si>
  <si>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</si>
  <si>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</si>
  <si>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</si>
  <si>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</si>
  <si>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</si>
  <si>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</si>
  <si>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</si>
  <si>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</si>
  <si>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</si>
  <si>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</si>
  <si>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</si>
  <si>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</si>
  <si>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</si>
  <si>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</si>
  <si>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</si>
  <si>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</si>
  <si>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</si>
  <si>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</si>
  <si>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</si>
  <si>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</si>
  <si>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</si>
  <si>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</si>
  <si>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</si>
  <si>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</si>
  <si>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</si>
  <si>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</si>
  <si>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</si>
  <si>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</si>
  <si>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</si>
  <si>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</si>
  <si>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</si>
  <si>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</si>
  <si>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</si>
  <si>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</si>
  <si>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</si>
  <si>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</si>
  <si>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</si>
  <si>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</si>
  <si>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</si>
  <si>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</si>
  <si>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</si>
  <si>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</si>
  <si>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</si>
  <si>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</si>
  <si>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</si>
  <si>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</si>
  <si>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</si>
  <si>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</si>
  <si>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</si>
  <si>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</si>
  <si>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</si>
  <si>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</si>
  <si>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</si>
  <si>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</si>
  <si>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</si>
  <si>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</si>
  <si>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</si>
  <si>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</si>
  <si>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</si>
  <si>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</si>
  <si>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</si>
  <si>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</si>
  <si>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</si>
  <si>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</si>
  <si>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</si>
  <si>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</si>
  <si>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</si>
  <si>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</si>
  <si>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</si>
  <si>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</si>
  <si>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</si>
  <si>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</si>
  <si>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</si>
  <si>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</si>
  <si>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</si>
  <si>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</si>
  <si>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</si>
  <si>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</si>
  <si>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</si>
  <si>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</si>
  <si>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</si>
  <si>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</si>
  <si>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</si>
  <si>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</si>
  <si>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</si>
  <si>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</si>
  <si>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</si>
  <si>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</si>
  <si>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</si>
  <si>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</si>
  <si>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</si>
  <si>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</si>
  <si>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</si>
  <si>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</si>
  <si>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</si>
  <si>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</si>
  <si>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</si>
  <si>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</si>
  <si>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</si>
  <si>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</si>
  <si>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</si>
  <si>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</si>
  <si>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</si>
  <si>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</si>
  <si>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</si>
  <si>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</si>
  <si>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</si>
  <si>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</si>
  <si>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</si>
  <si>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</si>
  <si>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</si>
  <si>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</si>
  <si>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</si>
  <si>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</si>
  <si>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</si>
  <si>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</si>
  <si>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</si>
  <si>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</si>
  <si>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</si>
  <si>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</si>
  <si>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</si>
  <si>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</si>
  <si>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</si>
  <si>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</si>
  <si>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</si>
  <si>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</si>
  <si>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</si>
  <si>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</si>
  <si>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</si>
  <si>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</si>
  <si>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</si>
  <si>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</si>
  <si>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</si>
  <si>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</si>
  <si>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</si>
  <si>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</si>
  <si>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</si>
  <si>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</si>
  <si>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</si>
  <si>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</si>
  <si>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</si>
  <si>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</si>
  <si>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</si>
  <si>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</si>
  <si>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</si>
  <si>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</si>
  <si>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</si>
  <si>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</si>
  <si>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</si>
  <si>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</si>
  <si>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</si>
  <si>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</si>
  <si>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</si>
  <si>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</si>
  <si>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</si>
  <si>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</si>
  <si>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</si>
  <si>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</si>
  <si>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</si>
  <si>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</si>
  <si>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</si>
  <si>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</si>
  <si>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</si>
  <si>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</si>
  <si>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</si>
  <si>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</si>
  <si>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</si>
  <si>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</si>
  <si>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</si>
  <si>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</si>
  <si>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</si>
  <si>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</si>
  <si>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</si>
  <si>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</si>
  <si>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</si>
  <si>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</si>
  <si>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</si>
  <si>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</si>
  <si>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</si>
  <si>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</si>
  <si>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</si>
  <si>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</si>
  <si>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</si>
  <si>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</si>
  <si>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</si>
  <si>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</si>
  <si>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</si>
  <si>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</si>
  <si>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</si>
  <si>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</si>
  <si>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</si>
  <si>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</si>
  <si>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</si>
  <si>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</si>
  <si>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</si>
  <si>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</si>
  <si>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</si>
  <si>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</si>
  <si>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</si>
  <si>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</si>
  <si>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</si>
  <si>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</si>
  <si>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</si>
  <si>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</si>
  <si>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</si>
  <si>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</si>
  <si>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</si>
  <si>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</si>
  <si>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</si>
  <si>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</si>
  <si>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</si>
  <si>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</si>
  <si>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</si>
  <si>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</si>
  <si>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</si>
  <si>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</si>
  <si>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</si>
  <si>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</si>
  <si>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</si>
  <si>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</si>
  <si>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</si>
  <si>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</si>
  <si>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</si>
  <si>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</si>
  <si>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</si>
  <si>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</si>
  <si>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</si>
  <si>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</si>
  <si>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</si>
  <si>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</si>
  <si>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</si>
  <si>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</si>
  <si>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</si>
  <si>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</si>
  <si>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</si>
  <si>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</si>
  <si>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</si>
  <si>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</si>
  <si>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</si>
  <si>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</si>
  <si>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</si>
  <si>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</si>
  <si>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</si>
  <si>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</si>
  <si>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</si>
  <si>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</si>
  <si>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</si>
  <si>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</si>
  <si>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</si>
  <si>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</si>
  <si>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</si>
  <si>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</si>
  <si>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</si>
  <si>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</si>
  <si>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</si>
  <si>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</si>
  <si>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</si>
  <si>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</si>
  <si>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</si>
  <si>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</si>
  <si>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</si>
  <si>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</si>
  <si>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</si>
  <si>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</si>
  <si>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</si>
  <si>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</si>
  <si>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</si>
  <si>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</si>
  <si>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</si>
  <si>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</si>
  <si>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</si>
  <si>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</si>
  <si>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</si>
  <si>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</si>
  <si>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</si>
  <si>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</si>
  <si>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</si>
  <si>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</si>
  <si>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</si>
  <si>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</si>
  <si>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</si>
  <si>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</si>
  <si>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</si>
  <si>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</si>
  <si>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</si>
  <si>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</si>
  <si>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</si>
  <si>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</si>
  <si>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</si>
  <si>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</si>
  <si>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</si>
  <si>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</si>
  <si>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</si>
  <si>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</si>
  <si>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</si>
  <si>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</si>
  <si>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</si>
  <si>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</si>
  <si>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</si>
  <si>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</si>
  <si>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</si>
  <si>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</si>
  <si>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</si>
  <si>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</si>
  <si>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</si>
  <si>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</si>
  <si>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</si>
  <si>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</si>
  <si>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</si>
  <si>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</si>
  <si>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</si>
  <si>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</si>
  <si>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</si>
  <si>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</si>
  <si>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</si>
  <si>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</si>
  <si>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</si>
  <si>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</si>
  <si>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</si>
  <si>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</si>
  <si>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</si>
  <si>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</si>
  <si>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</si>
  <si>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</si>
  <si>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</si>
  <si>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</si>
  <si>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</si>
  <si>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</si>
  <si>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</si>
  <si>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</si>
  <si>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</si>
  <si>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</si>
  <si>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</si>
  <si>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</si>
  <si>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</si>
  <si>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</si>
  <si>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</si>
  <si>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</si>
  <si>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</si>
  <si>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</si>
  <si>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</si>
  <si>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</si>
  <si>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</si>
  <si>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</si>
  <si>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</si>
  <si>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</si>
  <si>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</si>
  <si>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</si>
  <si>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</si>
  <si>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</si>
  <si>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</si>
  <si>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</si>
  <si>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</si>
  <si>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</si>
  <si>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</si>
  <si>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</si>
  <si>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</si>
  <si>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</si>
  <si>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</si>
  <si>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</si>
  <si>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</si>
  <si>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</si>
  <si>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</si>
  <si>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</si>
  <si>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</si>
  <si>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</si>
  <si>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</si>
  <si>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</si>
  <si>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</si>
  <si>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</si>
  <si>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</si>
  <si>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</si>
  <si>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</si>
  <si>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</si>
  <si>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</si>
  <si>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</si>
  <si>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</si>
  <si>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</si>
  <si>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</si>
  <si>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</si>
  <si>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</si>
  <si>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</si>
  <si>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</si>
  <si>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</si>
  <si>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</si>
  <si>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</si>
  <si>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</si>
  <si>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</si>
  <si>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</si>
  <si>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</si>
  <si>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</si>
  <si>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</si>
  <si>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</si>
  <si>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</si>
  <si>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</si>
  <si>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</si>
  <si>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</si>
  <si>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</si>
  <si>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</si>
  <si>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</si>
  <si>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</si>
  <si>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</si>
  <si>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</si>
  <si>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</si>
  <si>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</si>
  <si>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</si>
  <si>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</si>
  <si>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</si>
  <si>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</si>
  <si>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</si>
  <si>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</si>
  <si>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</si>
  <si>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</si>
  <si>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</si>
  <si>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</si>
  <si>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</si>
  <si>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</si>
  <si>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</si>
  <si>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</si>
  <si>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</si>
  <si>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</si>
  <si>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</si>
  <si>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</si>
  <si>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</si>
  <si>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</si>
  <si>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</si>
  <si>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</si>
  <si>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</si>
  <si>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</si>
  <si>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</si>
  <si>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</si>
  <si>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</si>
  <si>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</si>
  <si>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</si>
  <si>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</si>
  <si>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</si>
  <si>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</si>
  <si>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</si>
  <si>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</si>
  <si>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</si>
  <si>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</si>
  <si>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</si>
  <si>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</si>
  <si>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</si>
  <si>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</si>
  <si>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</si>
  <si>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</si>
  <si>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</si>
  <si>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</si>
  <si>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</si>
  <si>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</si>
  <si>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</si>
  <si>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</si>
  <si>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</si>
  <si>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</si>
  <si>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</si>
  <si>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</si>
  <si>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</si>
  <si>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</si>
  <si>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</si>
  <si>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</si>
  <si>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</si>
  <si>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</si>
  <si>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</si>
  <si>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</si>
  <si>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</si>
  <si>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</si>
  <si>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</si>
  <si>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</si>
  <si>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</si>
  <si>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</si>
  <si>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</si>
  <si>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</si>
  <si>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</si>
  <si>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</si>
  <si>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</si>
  <si>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</si>
  <si>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</si>
  <si>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</si>
  <si>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</si>
  <si>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</si>
  <si>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</si>
  <si>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</si>
  <si>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</si>
  <si>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</si>
  <si>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</si>
  <si>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</si>
  <si>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</si>
  <si>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</si>
  <si>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</si>
  <si>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</si>
  <si>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</si>
  <si>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</si>
  <si>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</si>
  <si>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</si>
  <si>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</si>
  <si>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</si>
  <si>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</si>
  <si>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</si>
  <si>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</si>
  <si>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</si>
  <si>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</si>
  <si>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</si>
  <si>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</si>
  <si>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</si>
  <si>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</si>
  <si>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</si>
  <si>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</si>
  <si>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</si>
  <si>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</si>
  <si>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</si>
  <si>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</si>
  <si>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</si>
  <si>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</si>
  <si>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</si>
  <si>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</si>
  <si>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</si>
  <si>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</si>
  <si>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</si>
  <si>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</si>
  <si>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</si>
  <si>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</si>
  <si>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</si>
  <si>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</si>
  <si>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</si>
  <si>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</si>
  <si>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</si>
  <si>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</si>
  <si>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</si>
  <si>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</si>
  <si>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</si>
  <si>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</si>
  <si>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</si>
  <si>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</si>
  <si>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</si>
  <si>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</si>
  <si>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</si>
  <si>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</si>
  <si>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</si>
  <si>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</si>
  <si>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</si>
  <si>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</si>
  <si>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</si>
  <si>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</si>
  <si>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</si>
  <si>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</si>
  <si>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</si>
  <si>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</si>
  <si>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</si>
  <si>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</si>
  <si>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</si>
  <si>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</si>
  <si>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</si>
  <si>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</si>
  <si>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</si>
  <si>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</si>
  <si>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</si>
  <si>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</si>
  <si>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</si>
  <si>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</si>
  <si>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</si>
  <si>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</si>
  <si>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</si>
  <si>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</si>
  <si>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</si>
  <si>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</si>
  <si>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</si>
  <si>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</si>
  <si>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</si>
  <si>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</si>
  <si>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</si>
  <si>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</si>
  <si>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</si>
  <si>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</si>
  <si>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</si>
  <si>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</si>
  <si>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</si>
  <si>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</si>
  <si>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</si>
  <si>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</si>
  <si>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</si>
  <si>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</si>
  <si>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</si>
  <si>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</si>
  <si>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</si>
  <si>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</si>
  <si>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</si>
  <si>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</si>
  <si>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</si>
  <si>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</si>
  <si>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</si>
  <si>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</si>
  <si>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</si>
  <si>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</si>
  <si>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</si>
  <si>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</si>
  <si>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</si>
  <si>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</si>
  <si>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</si>
  <si>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</si>
  <si>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</si>
  <si>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</si>
  <si>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</si>
  <si>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</si>
  <si>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</si>
  <si>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</si>
  <si>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</si>
  <si>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</si>
  <si>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</si>
  <si>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</si>
  <si>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</si>
  <si>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</si>
  <si>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</si>
  <si>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</si>
  <si>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</si>
  <si>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</si>
  <si>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</si>
  <si>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</si>
  <si>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</si>
  <si>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</si>
  <si>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</si>
  <si>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</si>
  <si>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</si>
  <si>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</si>
  <si>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</si>
  <si>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</si>
  <si>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</si>
  <si>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</si>
  <si>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</si>
  <si>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</si>
  <si>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</si>
  <si>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</si>
  <si>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</si>
  <si>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</si>
  <si>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</si>
  <si>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</si>
  <si>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</si>
  <si>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</si>
  <si>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</si>
  <si>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</si>
  <si>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</si>
  <si>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</si>
  <si>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</si>
  <si>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</si>
  <si>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</si>
  <si>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</si>
  <si>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</si>
  <si>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</si>
  <si>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</si>
  <si>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</si>
  <si>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</si>
  <si>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</si>
  <si>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</si>
  <si>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</si>
  <si>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</si>
  <si>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</si>
  <si>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</si>
  <si>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</si>
  <si>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</si>
  <si>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</si>
  <si>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</si>
  <si>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</si>
  <si>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</si>
  <si>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</si>
  <si>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</si>
  <si>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</si>
  <si>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</si>
  <si>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</si>
  <si>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</si>
  <si>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</si>
  <si>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</si>
  <si>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</si>
  <si>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</si>
  <si>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</si>
  <si>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</si>
  <si>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</si>
  <si>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</si>
  <si>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</si>
  <si>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</si>
  <si>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</si>
  <si>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</si>
  <si>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</si>
  <si>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</si>
  <si>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</si>
  <si>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</si>
  <si>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</si>
  <si>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</si>
  <si>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</si>
  <si>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</si>
  <si>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</si>
  <si>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</si>
  <si>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</si>
  <si>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</si>
  <si>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</si>
  <si>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</si>
  <si>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</si>
  <si>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</si>
  <si>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</si>
  <si>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</si>
  <si>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</si>
  <si>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</si>
  <si>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</si>
  <si>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</si>
  <si>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</si>
  <si>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</si>
  <si>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</si>
  <si>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</si>
  <si>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</si>
  <si>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</si>
  <si>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</si>
  <si>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</si>
  <si>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</si>
  <si>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</si>
  <si>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</si>
  <si>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</si>
  <si>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</si>
  <si>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</si>
  <si>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</si>
  <si>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</si>
  <si>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</si>
  <si>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</si>
  <si>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</si>
  <si>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</si>
  <si>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</si>
  <si>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</si>
  <si>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</si>
  <si>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</si>
  <si>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</si>
  <si>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</si>
  <si>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</si>
  <si>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</si>
  <si>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</si>
  <si>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</si>
  <si>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</si>
  <si>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</si>
  <si>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</si>
  <si>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</si>
  <si>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</si>
  <si>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</si>
  <si>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</si>
  <si>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</si>
  <si>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</si>
  <si>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</si>
  <si>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</si>
  <si>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</si>
  <si>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</si>
  <si>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</si>
  <si>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</si>
  <si>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</si>
  <si>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</si>
  <si>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</si>
  <si>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</si>
  <si>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</si>
  <si>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</si>
  <si>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</si>
  <si>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</si>
  <si>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</si>
  <si>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</si>
  <si>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</si>
  <si>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</si>
  <si>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</si>
  <si>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</si>
  <si>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</si>
  <si>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</si>
  <si>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</si>
  <si>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</si>
  <si>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</si>
  <si>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</si>
  <si>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</si>
  <si>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</si>
  <si>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</si>
  <si>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</si>
  <si>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</si>
  <si>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</si>
  <si>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</si>
  <si>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</si>
  <si>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</si>
  <si>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</si>
  <si>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</si>
  <si>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</si>
  <si>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</si>
  <si>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</si>
  <si>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</si>
  <si>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</si>
  <si>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</si>
  <si>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</si>
  <si>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</si>
  <si>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</si>
  <si>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</si>
  <si>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</si>
  <si>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</si>
  <si>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</si>
  <si>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</si>
  <si>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</si>
  <si>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</si>
  <si>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</si>
  <si>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</si>
  <si>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</si>
  <si>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</si>
  <si>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</si>
  <si>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</si>
  <si>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</si>
  <si>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</si>
  <si>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</si>
  <si>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</si>
  <si>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</si>
  <si>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</si>
  <si>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</si>
  <si>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</si>
  <si>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</si>
  <si>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</si>
  <si>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</si>
  <si>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</si>
  <si>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</si>
  <si>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</si>
  <si>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</si>
  <si>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</si>
  <si>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</si>
  <si>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</si>
  <si>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</si>
  <si>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</si>
  <si>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</si>
  <si>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</si>
  <si>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</si>
  <si>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</si>
  <si>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</si>
  <si>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</si>
  <si>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</si>
  <si>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</si>
  <si>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</si>
  <si>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</si>
  <si>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</si>
  <si>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</si>
  <si>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</si>
  <si>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</si>
  <si>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</si>
  <si>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</si>
  <si>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</si>
  <si>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</si>
  <si>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</si>
  <si>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</si>
  <si>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</si>
  <si>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</si>
  <si>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</si>
  <si>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</si>
  <si>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</si>
  <si>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</si>
  <si>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</si>
  <si>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</si>
  <si>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</si>
  <si>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</si>
  <si>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</si>
  <si>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</si>
  <si>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</si>
  <si>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</si>
  <si>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</si>
  <si>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</si>
  <si>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</si>
  <si>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</si>
  <si>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</si>
  <si>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</si>
  <si>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</si>
  <si>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</si>
  <si>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</si>
  <si>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</si>
  <si>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</si>
  <si>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</si>
  <si>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</si>
  <si>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</si>
  <si>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</si>
  <si>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</si>
  <si>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</si>
  <si>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</si>
  <si>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</si>
  <si>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</si>
  <si>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</si>
  <si>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</si>
  <si>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</si>
  <si>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</si>
  <si>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</si>
  <si>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</si>
  <si>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</si>
  <si>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</si>
  <si>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</si>
  <si>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</si>
  <si>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</si>
  <si>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</si>
  <si>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</si>
  <si>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</si>
  <si>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</si>
  <si>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</si>
  <si>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</si>
  <si>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</si>
  <si>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</si>
  <si>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</si>
  <si>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</si>
  <si>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</si>
  <si>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</si>
  <si>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</si>
  <si>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</si>
  <si>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</si>
  <si>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</si>
  <si>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</si>
  <si>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</si>
  <si>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</si>
  <si>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</si>
  <si>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</si>
  <si>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</si>
  <si>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</si>
  <si>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</si>
  <si>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</si>
  <si>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</si>
  <si>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</si>
  <si>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</si>
  <si>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</si>
  <si>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</si>
  <si>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</si>
  <si>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</si>
  <si>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</si>
  <si>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</si>
  <si>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</si>
  <si>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</si>
  <si>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</si>
  <si>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</si>
  <si>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</si>
  <si>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</si>
  <si>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</si>
  <si>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</si>
  <si>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</si>
  <si>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</si>
  <si>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</si>
  <si>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</si>
  <si>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</si>
  <si>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</si>
  <si>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</si>
  <si>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</si>
  <si>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</si>
  <si>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</si>
  <si>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</si>
  <si>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</si>
  <si>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</si>
  <si>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</si>
  <si>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</si>
  <si>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</si>
  <si>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</si>
  <si>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</si>
  <si>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</si>
  <si>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</si>
  <si>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</si>
  <si>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</si>
  <si>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</si>
  <si>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</si>
  <si>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</si>
  <si>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</si>
  <si>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</si>
  <si>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</si>
  <si>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</si>
  <si>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</si>
  <si>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</si>
  <si>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</si>
  <si>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</si>
  <si>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</si>
  <si>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</si>
  <si>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</si>
  <si>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</si>
  <si>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</si>
  <si>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</si>
  <si>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</si>
  <si>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</si>
  <si>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</si>
  <si>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</si>
  <si>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</si>
  <si>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</si>
  <si>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</si>
  <si>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</si>
  <si>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</si>
  <si>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</si>
  <si>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</si>
  <si>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</si>
  <si>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</si>
  <si>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</si>
  <si>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</si>
  <si>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</si>
  <si>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</si>
  <si>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</si>
  <si>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</si>
  <si>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</si>
  <si>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</si>
  <si>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</si>
  <si>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</si>
  <si>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</si>
  <si>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</si>
  <si>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</si>
  <si>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</si>
  <si>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</si>
  <si>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</si>
  <si>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</si>
  <si>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</si>
  <si>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</si>
  <si>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</si>
  <si>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</si>
  <si>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</si>
  <si>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</si>
  <si>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</si>
  <si>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</si>
  <si>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</si>
  <si>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</si>
  <si>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</si>
  <si>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</si>
  <si>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</si>
  <si>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</si>
  <si>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</si>
  <si>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</si>
  <si>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</si>
  <si>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</si>
  <si>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</si>
  <si>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</si>
  <si>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</si>
  <si>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</si>
  <si>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</si>
  <si>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</si>
  <si>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</si>
  <si>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</si>
  <si>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</si>
  <si>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</si>
  <si>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</si>
  <si>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</si>
  <si>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</si>
  <si>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</si>
  <si>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</si>
  <si>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</si>
  <si>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</si>
  <si>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</si>
  <si>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</si>
  <si>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</si>
  <si>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</si>
  <si>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</si>
  <si>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</si>
  <si>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</si>
  <si>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</si>
  <si>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</si>
  <si>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</si>
  <si>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</si>
  <si>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</si>
  <si>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</si>
  <si>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</si>
  <si>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</si>
  <si>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</si>
  <si>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</si>
  <si>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</si>
  <si>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</si>
  <si>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</si>
  <si>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</si>
  <si>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</si>
  <si>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</si>
  <si>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</si>
  <si>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</si>
  <si>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</si>
  <si>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</si>
  <si>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</si>
  <si>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</si>
  <si>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</si>
  <si>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</si>
  <si>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</si>
  <si>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</si>
  <si>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</si>
  <si>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</si>
  <si>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</si>
  <si>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</si>
  <si>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</si>
  <si>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</si>
  <si>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</si>
  <si>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</si>
  <si>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</si>
  <si>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</si>
  <si>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</si>
  <si>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</si>
  <si>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</si>
  <si>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</si>
  <si>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</si>
  <si>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</si>
  <si>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</si>
  <si>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</si>
  <si>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</si>
  <si>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</si>
  <si>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</si>
  <si>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</si>
  <si>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</si>
  <si>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</si>
  <si>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</si>
  <si>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</si>
  <si>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</si>
  <si>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</si>
  <si>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</si>
  <si>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</si>
  <si>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</si>
  <si>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</si>
  <si>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</si>
  <si>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</si>
  <si>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</si>
  <si>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</si>
  <si>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</si>
  <si>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</si>
  <si>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</si>
  <si>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</si>
  <si>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</si>
  <si>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</si>
  <si>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</si>
  <si>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</si>
  <si>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</si>
  <si>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</si>
  <si>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</si>
  <si>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</si>
  <si>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</si>
  <si>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</si>
  <si>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</si>
  <si>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</si>
  <si>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</si>
  <si>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</si>
  <si>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</si>
  <si>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</si>
  <si>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</si>
  <si>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</si>
  <si>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</si>
  <si>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</si>
  <si>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</si>
  <si>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</si>
  <si>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</si>
  <si>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</si>
  <si>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</si>
  <si>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</si>
  <si>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</si>
  <si>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</si>
  <si>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</si>
  <si>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</si>
  <si>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</si>
  <si>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</si>
  <si>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</si>
  <si>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</si>
  <si>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</si>
  <si>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</si>
  <si>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</si>
  <si>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</si>
  <si>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</si>
  <si>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</si>
  <si>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</si>
  <si>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</si>
  <si>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</si>
  <si>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</si>
  <si>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</si>
  <si>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</si>
  <si>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</si>
  <si>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</si>
  <si>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</si>
  <si>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</si>
  <si>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</si>
  <si>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</si>
  <si>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</si>
  <si>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</si>
  <si>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</si>
  <si>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</si>
  <si>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</si>
  <si>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</si>
  <si>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</si>
  <si>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</si>
  <si>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</si>
  <si>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</si>
  <si>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</si>
  <si>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</si>
  <si>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</si>
  <si>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</si>
  <si>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</si>
  <si>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</si>
  <si>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</si>
  <si>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</si>
  <si>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</si>
  <si>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</si>
  <si>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</si>
  <si>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</si>
  <si>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</si>
  <si>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</si>
  <si>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</si>
  <si>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</si>
  <si>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</si>
  <si>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</si>
  <si>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</si>
  <si>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</si>
  <si>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</si>
  <si>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</si>
  <si>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</si>
  <si>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</si>
  <si>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</si>
  <si>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</si>
  <si>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</si>
  <si>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</si>
  <si>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</si>
  <si>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</si>
  <si>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</si>
  <si>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</si>
  <si>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</si>
  <si>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</si>
  <si>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</si>
  <si>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</si>
  <si>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</si>
  <si>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</si>
  <si>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</si>
  <si>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</si>
  <si>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</si>
  <si>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</si>
  <si>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</si>
  <si>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</si>
  <si>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</si>
  <si>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</si>
  <si>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</si>
  <si>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</si>
  <si>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</si>
  <si>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</si>
  <si>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</si>
  <si>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</si>
  <si>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</si>
  <si>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</si>
  <si>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</si>
  <si>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</si>
  <si>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</si>
  <si>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</si>
  <si>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</si>
  <si>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</si>
  <si>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</si>
  <si>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</si>
  <si>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</si>
  <si>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</si>
  <si>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</si>
  <si>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</si>
  <si>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</si>
  <si>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</si>
  <si>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</si>
  <si>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</si>
  <si>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</si>
  <si>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</si>
  <si>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</si>
  <si>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</si>
  <si>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</si>
  <si>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</si>
  <si>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</si>
  <si>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</si>
  <si>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</si>
  <si>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</si>
  <si>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</si>
  <si>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</si>
  <si>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</si>
  <si>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</si>
  <si>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</si>
  <si>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</si>
  <si>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</si>
  <si>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</si>
  <si>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</si>
  <si>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</si>
  <si>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</si>
  <si>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</si>
  <si>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</si>
  <si>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</si>
  <si>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</si>
  <si>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</si>
  <si>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</si>
  <si>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</si>
  <si>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</si>
  <si>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</si>
  <si>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</si>
  <si>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</si>
  <si>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</si>
  <si>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</si>
  <si>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</si>
  <si>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</si>
  <si>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</si>
  <si>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</si>
  <si>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</si>
  <si>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</si>
  <si>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</si>
  <si>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</si>
  <si>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</si>
  <si>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</si>
  <si>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</si>
  <si>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</si>
  <si>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</si>
  <si>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</si>
  <si>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</si>
  <si>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</si>
  <si>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</si>
  <si>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</si>
  <si>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</si>
  <si>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</si>
  <si>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</si>
  <si>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</si>
  <si>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</si>
  <si>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</si>
  <si>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</si>
  <si>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</si>
  <si>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</si>
  <si>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</si>
  <si>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</si>
  <si>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</si>
  <si>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</si>
  <si>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</si>
  <si>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</si>
  <si>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</si>
  <si>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</si>
  <si>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</si>
  <si>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</si>
  <si>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</si>
  <si>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</si>
  <si>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</si>
  <si>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</si>
  <si>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</si>
  <si>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</si>
  <si>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</si>
  <si>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</si>
  <si>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</si>
  <si>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</si>
  <si>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</si>
  <si>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</si>
  <si>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</si>
  <si>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</si>
  <si>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</si>
  <si>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</si>
  <si>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</si>
  <si>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</si>
  <si>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</si>
  <si>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</si>
  <si>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</si>
  <si>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</si>
  <si>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</si>
  <si>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</si>
  <si>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</si>
  <si>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</si>
  <si>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</si>
  <si>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</si>
  <si>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</si>
  <si>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</si>
  <si>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</si>
  <si>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</si>
  <si>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</si>
  <si>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</si>
  <si>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</si>
  <si>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</si>
  <si>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</si>
  <si>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</si>
  <si>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</si>
  <si>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</si>
  <si>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</si>
  <si>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</si>
  <si>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</si>
  <si>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</si>
  <si>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</si>
  <si>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</si>
  <si>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</si>
  <si>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</si>
  <si>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</si>
  <si>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</si>
  <si>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</si>
  <si>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</si>
  <si>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</si>
  <si>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</si>
  <si>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</si>
  <si>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</si>
  <si>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</si>
  <si>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</si>
  <si>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</si>
  <si>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</si>
  <si>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</si>
  <si>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</si>
  <si>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</si>
  <si>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</si>
  <si>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</si>
  <si>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</si>
  <si>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</si>
  <si>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</si>
  <si>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</si>
  <si>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</si>
  <si>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</si>
  <si>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</si>
  <si>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</si>
  <si>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</si>
  <si>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</si>
  <si>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</si>
  <si>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</si>
  <si>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</si>
  <si>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</si>
  <si>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</si>
  <si>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</si>
  <si>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</si>
  <si>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</si>
  <si>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</si>
  <si>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</si>
  <si>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</si>
  <si>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</si>
  <si>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</si>
  <si>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</si>
  <si>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</si>
  <si>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</si>
  <si>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</si>
  <si>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</si>
  <si>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</si>
  <si>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</si>
  <si>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</si>
  <si>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</si>
  <si>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</si>
  <si>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</si>
  <si>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</si>
  <si>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</si>
  <si>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</si>
  <si>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</si>
  <si>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</si>
  <si>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</si>
  <si>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</si>
  <si>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</si>
  <si>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</si>
  <si>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</si>
  <si>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</si>
  <si>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</si>
  <si>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</si>
  <si>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</si>
  <si>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</si>
  <si>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</si>
  <si>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</si>
  <si>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</si>
  <si>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</si>
  <si>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</si>
  <si>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</si>
  <si>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</si>
  <si>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</si>
  <si>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</si>
  <si>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</si>
  <si>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</si>
  <si>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</si>
  <si>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</si>
  <si>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</si>
  <si>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</si>
  <si>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</si>
  <si>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</si>
  <si>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</si>
  <si>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</si>
  <si>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</si>
  <si>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</si>
  <si>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</si>
  <si>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</si>
  <si>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</si>
  <si>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</si>
  <si>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</si>
  <si>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</si>
  <si>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</si>
  <si>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</si>
  <si>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</si>
  <si>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</si>
  <si>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</si>
  <si>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</si>
  <si>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</si>
  <si>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</si>
  <si>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</si>
  <si>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</si>
  <si>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</si>
  <si>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</si>
  <si>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</si>
  <si>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</si>
  <si>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</si>
  <si>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</si>
  <si>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</si>
  <si>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</si>
  <si>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</si>
  <si>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</si>
  <si>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</si>
  <si>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</si>
  <si>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</si>
  <si>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</si>
  <si>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</si>
  <si>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</si>
  <si>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</si>
  <si>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</si>
  <si>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</si>
  <si>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</si>
  <si>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</si>
  <si>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</si>
  <si>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</si>
  <si>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</si>
  <si>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</si>
  <si>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</si>
  <si>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</si>
  <si>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</si>
  <si>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</si>
  <si>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</si>
  <si>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</si>
  <si>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</si>
  <si>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</si>
  <si>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</si>
  <si>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</si>
  <si>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</si>
  <si>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</si>
  <si>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</si>
  <si>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</si>
  <si>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</si>
  <si>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</si>
  <si>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</si>
  <si>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</si>
  <si>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</si>
  <si>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</si>
  <si>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</si>
  <si>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</si>
  <si>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</si>
  <si>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</si>
  <si>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</si>
  <si>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</si>
  <si>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</si>
  <si>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</si>
  <si>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</si>
  <si>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</si>
  <si>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</si>
  <si>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</si>
  <si>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</si>
  <si>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</si>
  <si>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</si>
  <si>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</si>
  <si>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</si>
  <si>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</si>
  <si>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</si>
  <si>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</si>
  <si>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</si>
  <si>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</si>
  <si>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</si>
  <si>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</si>
  <si>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</si>
  <si>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</si>
  <si>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</si>
  <si>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</si>
  <si>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</si>
  <si>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</si>
  <si>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</si>
  <si>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</si>
  <si>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</si>
  <si>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</si>
  <si>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</si>
  <si>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</si>
  <si>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</si>
  <si>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</si>
  <si>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</si>
  <si>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</si>
  <si>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</si>
  <si>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</si>
  <si>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</si>
  <si>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</si>
  <si>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</si>
  <si>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</si>
  <si>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</si>
  <si>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</si>
  <si>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</si>
  <si>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</si>
  <si>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</si>
  <si>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</si>
  <si>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</si>
  <si>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</si>
  <si>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</si>
  <si>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</si>
  <si>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</si>
  <si>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</si>
  <si>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</si>
  <si>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</si>
  <si>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</si>
  <si>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</si>
  <si>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</si>
  <si>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</si>
  <si>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</si>
  <si>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</si>
  <si>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</si>
  <si>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</si>
  <si>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</si>
  <si>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</si>
  <si>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</si>
  <si>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</si>
  <si>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</si>
  <si>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</si>
  <si>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</si>
  <si>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</si>
  <si>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</si>
  <si>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</si>
  <si>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</si>
  <si>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</si>
  <si>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</si>
  <si>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</si>
  <si>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</si>
  <si>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</si>
  <si>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</si>
  <si>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</si>
  <si>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</si>
  <si>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</si>
  <si>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</si>
  <si>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</si>
  <si>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</si>
  <si>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</si>
  <si>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</si>
  <si>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</si>
  <si>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</si>
  <si>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</si>
  <si>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</si>
  <si>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</si>
  <si>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</si>
  <si>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</si>
  <si>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</si>
  <si>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</si>
  <si>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</si>
  <si>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</si>
  <si>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</si>
  <si>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</si>
  <si>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</si>
  <si>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</si>
  <si>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</si>
  <si>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</si>
  <si>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</si>
  <si>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</si>
  <si>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</si>
  <si>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</si>
  <si>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</si>
  <si>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</si>
  <si>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</si>
  <si>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</si>
  <si>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</si>
  <si>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</si>
  <si>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</si>
  <si>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</si>
  <si>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</si>
  <si>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</si>
  <si>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</si>
  <si>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</si>
  <si>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</si>
  <si>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</si>
  <si>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</si>
  <si>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</si>
  <si>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</si>
  <si>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</si>
  <si>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</si>
  <si>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</si>
  <si>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</si>
  <si>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</si>
  <si>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</si>
  <si>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</si>
  <si>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</si>
  <si>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</si>
  <si>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</si>
  <si>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</si>
  <si>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</si>
  <si>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</si>
  <si>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</si>
  <si>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</si>
  <si>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</si>
  <si>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</si>
  <si>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</si>
  <si>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</si>
  <si>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</si>
  <si>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</si>
  <si>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</si>
  <si>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</si>
  <si>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</si>
  <si>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</si>
  <si>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</si>
  <si>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</si>
  <si>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</si>
  <si>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</si>
  <si>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</si>
  <si>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</si>
  <si>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</si>
  <si>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</si>
  <si>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</si>
  <si>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</si>
  <si>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</si>
  <si>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</si>
  <si>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</si>
  <si>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</si>
  <si>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</si>
  <si>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</si>
  <si>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</si>
  <si>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</si>
  <si>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</si>
  <si>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</si>
  <si>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</si>
  <si>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</si>
  <si>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</si>
  <si>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</si>
  <si>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</si>
  <si>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</si>
  <si>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</si>
  <si>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</si>
  <si>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</si>
  <si>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</si>
  <si>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</si>
  <si>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</si>
  <si>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</si>
  <si>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</si>
  <si>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</si>
  <si>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</si>
  <si>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</si>
  <si>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</si>
  <si>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</si>
  <si>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</si>
  <si>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</si>
  <si>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</si>
  <si>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</si>
  <si>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</si>
  <si>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</si>
  <si>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</si>
  <si>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</si>
  <si>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</si>
  <si>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</si>
  <si>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</si>
  <si>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</si>
  <si>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</si>
  <si>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</si>
  <si>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</si>
  <si>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</si>
  <si>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</si>
  <si>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</si>
  <si>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</si>
  <si>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</si>
  <si>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</si>
  <si>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</si>
  <si>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</si>
  <si>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</si>
  <si>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</si>
  <si>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</si>
  <si>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</si>
  <si>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</si>
  <si>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</si>
  <si>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</si>
  <si>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</si>
  <si>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</si>
  <si>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</si>
  <si>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</si>
  <si>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</si>
  <si>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</si>
  <si>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</si>
  <si>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</si>
  <si>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</si>
  <si>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</si>
  <si>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</si>
  <si>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</si>
  <si>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</si>
  <si>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</si>
  <si>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</si>
  <si>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</si>
  <si>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</si>
  <si>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</si>
  <si>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</si>
  <si>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</si>
  <si>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</si>
  <si>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</si>
  <si>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</si>
  <si>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</si>
  <si>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</si>
  <si>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</si>
  <si>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</si>
  <si>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</si>
  <si>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</si>
  <si>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</si>
  <si>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</si>
  <si>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</si>
  <si>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</si>
  <si>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</si>
  <si>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</si>
  <si>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</si>
  <si>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</si>
  <si>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</si>
  <si>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</si>
  <si>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</si>
  <si>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</si>
  <si>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</si>
  <si>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</si>
  <si>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</si>
  <si>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</si>
  <si>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</si>
  <si>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</si>
  <si>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</si>
  <si>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</si>
  <si>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</si>
  <si>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</si>
  <si>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</si>
  <si>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</si>
  <si>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</si>
  <si>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</si>
  <si>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</si>
  <si>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</si>
  <si>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</si>
  <si>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</si>
  <si>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</si>
  <si>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</si>
  <si>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</si>
  <si>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</si>
  <si>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</si>
  <si>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</si>
  <si>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</si>
  <si>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</si>
  <si>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</si>
  <si>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</si>
  <si>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</si>
  <si>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</si>
  <si>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</si>
  <si>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</si>
  <si>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</si>
  <si>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</si>
  <si>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</si>
  <si>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</si>
  <si>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</si>
  <si>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</si>
  <si>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</si>
  <si>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</si>
  <si>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</si>
  <si>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</si>
  <si>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</si>
  <si>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</si>
  <si>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</si>
  <si>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</si>
  <si>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</si>
  <si>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</si>
  <si>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</si>
  <si>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</si>
  <si>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</si>
  <si>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</si>
  <si>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</si>
  <si>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</si>
  <si>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</si>
  <si>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</si>
  <si>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</si>
  <si>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</si>
  <si>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</si>
  <si>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</si>
  <si>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</si>
  <si>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</si>
  <si>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</si>
  <si>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</si>
  <si>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</si>
  <si>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</si>
  <si>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</si>
  <si>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</si>
  <si>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</si>
  <si>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</si>
  <si>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</si>
  <si>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</si>
  <si>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</si>
  <si>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</si>
  <si>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</si>
  <si>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</si>
  <si>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</si>
  <si>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</si>
  <si>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</si>
  <si>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</si>
  <si>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</si>
  <si>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</si>
  <si>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</si>
  <si>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</si>
  <si>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</si>
  <si>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</si>
  <si>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</si>
  <si>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</si>
  <si>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</si>
  <si>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</si>
  <si>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</si>
  <si>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</si>
  <si>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</si>
  <si>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</si>
  <si>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</si>
  <si>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</si>
  <si>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</si>
  <si>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</si>
  <si>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</si>
  <si>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</si>
  <si>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</si>
  <si>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</si>
  <si>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</si>
  <si>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</si>
  <si>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</si>
  <si>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</si>
  <si>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</si>
  <si>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</si>
  <si>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</si>
  <si>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</si>
  <si>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</si>
  <si>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</si>
  <si>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</si>
  <si>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</si>
  <si>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</si>
  <si>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</si>
  <si>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</si>
  <si>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</si>
  <si>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</si>
  <si>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</si>
  <si>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</si>
  <si>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</si>
  <si>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</si>
  <si>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</si>
  <si>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</si>
  <si>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</si>
  <si>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</si>
  <si>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</si>
  <si>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</si>
  <si>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</si>
  <si>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</si>
  <si>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</si>
  <si>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</si>
  <si>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</si>
  <si>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</si>
  <si>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</si>
  <si>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</si>
  <si>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</si>
  <si>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</si>
  <si>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</si>
  <si>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</si>
  <si>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</si>
  <si>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</si>
  <si>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</si>
  <si>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</si>
  <si>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</si>
  <si>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</si>
  <si>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</si>
  <si>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</si>
  <si>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</si>
  <si>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</si>
  <si>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</si>
  <si>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</si>
  <si>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</si>
  <si>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</si>
  <si>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</si>
  <si>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</si>
  <si>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</si>
  <si>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</si>
  <si>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</si>
  <si>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</si>
  <si>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</si>
  <si>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</si>
  <si>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</si>
  <si>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</si>
  <si>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</si>
  <si>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</si>
  <si>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</si>
  <si>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</si>
  <si>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</si>
  <si>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</si>
  <si>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</si>
  <si>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</si>
  <si>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</si>
  <si>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</si>
  <si>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</si>
  <si>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</si>
  <si>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</si>
  <si>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</si>
  <si>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</si>
  <si>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</si>
  <si>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</si>
  <si>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</si>
  <si>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</si>
  <si>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</si>
  <si>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</si>
  <si>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</si>
  <si>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</si>
  <si>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</si>
  <si>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</si>
  <si>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</si>
  <si>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</si>
  <si>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</si>
  <si>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</si>
  <si>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</si>
  <si>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</si>
  <si>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</si>
  <si>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</si>
  <si>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</si>
  <si>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</si>
  <si>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</si>
  <si>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</si>
  <si>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</si>
  <si>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</si>
  <si>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</si>
  <si>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</si>
  <si>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</si>
  <si>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</si>
  <si>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</si>
  <si>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</si>
  <si>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</si>
  <si>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</si>
  <si>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</si>
  <si>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</si>
  <si>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</si>
  <si>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</si>
  <si>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</si>
  <si>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</si>
  <si>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</si>
  <si>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</si>
  <si>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</si>
  <si>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</si>
  <si>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</si>
  <si>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</si>
  <si>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</si>
  <si>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</si>
  <si>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</si>
  <si>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</si>
  <si>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</si>
  <si>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</si>
  <si>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</si>
  <si>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</si>
  <si>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</si>
  <si>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</si>
  <si>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</si>
  <si>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</si>
  <si>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</si>
  <si>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</si>
  <si>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</si>
  <si>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</si>
  <si>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</si>
  <si>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</si>
  <si>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</si>
  <si>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</si>
  <si>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</si>
  <si>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</si>
  <si>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</si>
  <si>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</si>
  <si>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</si>
  <si>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</si>
  <si>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</si>
  <si>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</si>
  <si>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</si>
  <si>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</si>
  <si>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</si>
  <si>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</si>
  <si>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</si>
  <si>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</si>
  <si>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</si>
  <si>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</si>
  <si>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</si>
  <si>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</si>
  <si>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</si>
  <si>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</si>
  <si>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</si>
  <si>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</si>
  <si>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</si>
  <si>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</si>
  <si>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</si>
  <si>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</si>
  <si>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</si>
  <si>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</si>
  <si>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</si>
  <si>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</si>
  <si>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</si>
  <si>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</si>
  <si>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</si>
  <si>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</si>
  <si>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</si>
  <si>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</si>
  <si>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</si>
  <si>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</si>
  <si>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</si>
  <si>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</si>
  <si>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</si>
  <si>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</si>
  <si>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</si>
  <si>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</si>
  <si>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</si>
  <si>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</si>
  <si>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</si>
  <si>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</si>
  <si>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</si>
  <si>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</si>
  <si>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</si>
  <si>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</si>
  <si>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</si>
  <si>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</si>
  <si>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</si>
  <si>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</si>
  <si>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</si>
  <si>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</si>
  <si>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</si>
  <si>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</si>
  <si>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</si>
  <si>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</si>
  <si>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</si>
  <si>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</si>
  <si>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</si>
  <si>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</si>
  <si>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</si>
  <si>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</si>
  <si>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</si>
  <si>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</si>
  <si>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</si>
  <si>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</si>
  <si>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</si>
  <si>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</si>
  <si>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</si>
  <si>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</si>
  <si>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</si>
  <si>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</si>
  <si>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</si>
  <si>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</si>
  <si>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</si>
  <si>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</si>
  <si>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</si>
  <si>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</si>
  <si>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</si>
  <si>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</si>
  <si>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</si>
  <si>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</si>
  <si>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</si>
  <si>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</si>
  <si>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</si>
  <si>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</si>
  <si>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</si>
  <si>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</si>
  <si>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</si>
  <si>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</si>
  <si>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</si>
  <si>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</si>
  <si>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</si>
  <si>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</si>
  <si>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</si>
  <si>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</si>
  <si>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</si>
  <si>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</si>
  <si>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</si>
  <si>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</si>
  <si>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</si>
  <si>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</si>
  <si>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</si>
  <si>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</si>
  <si>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</si>
  <si>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</si>
  <si>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</si>
  <si>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</si>
  <si>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</si>
  <si>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</si>
  <si>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</si>
  <si>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</si>
  <si>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</si>
  <si>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</si>
  <si>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</si>
  <si>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</si>
  <si>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</si>
  <si>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</si>
  <si>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</si>
  <si>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</si>
  <si>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</si>
  <si>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</si>
  <si>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</si>
  <si>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</si>
  <si>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</si>
  <si>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</si>
  <si>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</si>
  <si>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</si>
  <si>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</si>
  <si>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</si>
  <si>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</si>
  <si>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</si>
  <si>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</si>
  <si>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</si>
  <si>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</si>
  <si>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</si>
  <si>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</si>
  <si>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</si>
  <si>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</si>
  <si>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</si>
  <si>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</si>
  <si>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</si>
  <si>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</si>
  <si>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</si>
  <si>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</si>
  <si>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</si>
  <si>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</si>
  <si>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</si>
  <si>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</si>
  <si>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</si>
  <si>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</si>
  <si>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</si>
  <si>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</si>
  <si>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</si>
  <si>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</si>
  <si>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</si>
  <si>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</si>
  <si>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</si>
  <si>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</si>
  <si>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</si>
  <si>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</si>
  <si>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</si>
  <si>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</si>
  <si>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</si>
  <si>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</si>
  <si>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</si>
  <si>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</si>
  <si>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</si>
  <si>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</si>
  <si>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</si>
  <si>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</si>
  <si>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</si>
  <si>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</si>
  <si>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</si>
  <si>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</si>
  <si>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</si>
  <si>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</si>
  <si>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</si>
  <si>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</si>
  <si>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</si>
  <si>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</si>
  <si>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</si>
  <si>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</si>
  <si>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</si>
  <si>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</si>
  <si>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</si>
  <si>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</si>
  <si>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</si>
  <si>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</si>
  <si>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</si>
  <si>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</si>
  <si>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</si>
  <si>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</si>
  <si>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</si>
  <si>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</si>
  <si>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</si>
  <si>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</si>
  <si>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</si>
  <si>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</si>
  <si>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</si>
  <si>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</si>
  <si>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</si>
  <si>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</si>
  <si>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</si>
  <si>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</si>
  <si>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</si>
  <si>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</si>
  <si>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</si>
  <si>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</si>
  <si>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</si>
  <si>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</si>
  <si>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</si>
  <si>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</si>
  <si>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</si>
  <si>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</si>
  <si>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</si>
  <si>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</si>
  <si>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</si>
  <si>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</si>
  <si>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</si>
  <si>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</si>
  <si>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</si>
  <si>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</si>
  <si>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</si>
  <si>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</si>
  <si>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</si>
  <si>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</si>
  <si>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</si>
  <si>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</si>
  <si>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</si>
  <si>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</si>
  <si>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</si>
  <si>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</si>
  <si>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</si>
  <si>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</si>
  <si>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</si>
  <si>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</si>
  <si>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</si>
  <si>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</si>
  <si>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</si>
  <si>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</si>
  <si>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</si>
  <si>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</si>
  <si>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</si>
  <si>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</si>
  <si>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</si>
  <si>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</si>
  <si>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</si>
  <si>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</si>
  <si>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</si>
  <si>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</si>
  <si>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</si>
  <si>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</si>
  <si>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</si>
  <si>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</si>
  <si>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</si>
  <si>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</si>
  <si>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</si>
  <si>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</si>
  <si>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</si>
  <si>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</si>
  <si>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</si>
  <si>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</si>
  <si>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</si>
  <si>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</si>
  <si>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</si>
  <si>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</si>
  <si>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</si>
  <si>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</si>
  <si>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</si>
  <si>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</si>
  <si>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</si>
  <si>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</si>
  <si>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</si>
  <si>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</si>
  <si>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</si>
  <si>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</si>
  <si>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</si>
  <si>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</si>
  <si>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</si>
  <si>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</si>
  <si>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</si>
  <si>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</si>
  <si>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</si>
  <si>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</si>
  <si>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</si>
  <si>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</si>
  <si>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</si>
  <si>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</si>
  <si>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</si>
  <si>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</si>
  <si>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</si>
  <si>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</si>
  <si>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</si>
  <si>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</si>
  <si>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</si>
  <si>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</si>
  <si>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</si>
  <si>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</si>
  <si>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</si>
  <si>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</si>
  <si>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</si>
  <si>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</si>
  <si>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</si>
  <si>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</si>
  <si>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</si>
  <si>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</si>
  <si>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</si>
  <si>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</si>
  <si>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</si>
  <si>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</si>
  <si>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</si>
  <si>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</si>
  <si>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</si>
  <si>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</si>
  <si>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</si>
  <si>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</si>
  <si>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</si>
  <si>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</si>
  <si>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</si>
  <si>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</si>
  <si>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</si>
  <si>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</si>
  <si>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</si>
  <si>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</si>
  <si>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</si>
  <si>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</si>
  <si>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</si>
  <si>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</si>
  <si>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</si>
  <si>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</si>
  <si>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</si>
  <si>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</si>
  <si>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</si>
  <si>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</si>
  <si>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</si>
  <si>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</si>
  <si>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</si>
  <si>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</si>
  <si>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</si>
  <si>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</si>
  <si>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</si>
  <si>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</si>
  <si>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</si>
  <si>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</si>
  <si>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</si>
  <si>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</si>
  <si>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</si>
  <si>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</si>
  <si>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</si>
  <si>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</si>
  <si>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</si>
  <si>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</si>
  <si>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</si>
  <si>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</si>
  <si>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</si>
  <si>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</si>
  <si>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</si>
  <si>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</si>
  <si>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</si>
  <si>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</si>
  <si>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</si>
  <si>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</si>
  <si>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</si>
  <si>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</si>
  <si>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</si>
  <si>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</si>
  <si>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</si>
  <si>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</si>
  <si>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</si>
  <si>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</si>
  <si>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</si>
  <si>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</si>
  <si>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</si>
  <si>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</si>
  <si>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</si>
  <si>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</si>
  <si>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</si>
  <si>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</si>
  <si>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</si>
  <si>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</si>
  <si>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</si>
  <si>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</si>
  <si>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</si>
  <si>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</si>
  <si>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</si>
  <si>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</si>
  <si>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</si>
  <si>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</si>
  <si>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</si>
  <si>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</si>
  <si>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</si>
  <si>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</si>
  <si>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</si>
  <si>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</si>
  <si>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</si>
  <si>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</si>
  <si>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</si>
  <si>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</si>
  <si>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</si>
  <si>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</si>
  <si>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</si>
  <si>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</si>
  <si>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</si>
  <si>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</si>
  <si>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</si>
  <si>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</si>
  <si>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</si>
  <si>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</si>
  <si>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</si>
  <si>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</si>
  <si>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</si>
  <si>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</si>
  <si>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</si>
  <si>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</si>
  <si>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</si>
  <si>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</si>
  <si>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</si>
  <si>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</si>
  <si>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</si>
  <si>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</si>
  <si>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</si>
  <si>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</si>
  <si>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</si>
  <si>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</si>
  <si>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</si>
  <si>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</si>
  <si>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</si>
  <si>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</si>
  <si>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</si>
  <si>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</si>
  <si>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</si>
  <si>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</si>
  <si>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</si>
  <si>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</si>
  <si>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</si>
  <si>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</si>
  <si>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</si>
  <si>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</si>
  <si>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</si>
  <si>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</si>
  <si>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</si>
  <si>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</si>
  <si>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</si>
  <si>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</si>
  <si>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</si>
  <si>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</si>
  <si>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</si>
  <si>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</si>
  <si>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</si>
  <si>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</si>
  <si>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</si>
  <si>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</si>
  <si>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</si>
  <si>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</si>
  <si>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</si>
  <si>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</si>
  <si>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</si>
  <si>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</si>
  <si>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</si>
  <si>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</si>
  <si>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</si>
  <si>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</si>
  <si>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</si>
  <si>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</si>
  <si>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</si>
  <si>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</si>
  <si>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</si>
  <si>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</si>
  <si>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</si>
  <si>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</si>
  <si>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</si>
  <si>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</si>
  <si>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</si>
  <si>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</si>
  <si>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</si>
  <si>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</si>
  <si>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</si>
  <si>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</si>
  <si>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</si>
  <si>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</si>
  <si>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</si>
  <si>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</si>
  <si>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</si>
  <si>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</si>
  <si>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</si>
  <si>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</si>
  <si>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</si>
  <si>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</si>
  <si>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</si>
  <si>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</si>
  <si>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</si>
  <si>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</si>
  <si>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</si>
  <si>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</si>
  <si>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</si>
  <si>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</si>
  <si>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</si>
  <si>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</si>
  <si>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</si>
  <si>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</si>
  <si>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</si>
  <si>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</si>
  <si>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</si>
  <si>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</si>
  <si>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</si>
  <si>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</si>
  <si>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</si>
  <si>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</si>
  <si>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</si>
  <si>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</si>
  <si>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</si>
  <si>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</si>
  <si>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</si>
  <si>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</si>
  <si>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</si>
  <si>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</si>
  <si>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</si>
  <si>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</si>
  <si>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</si>
  <si>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</si>
  <si>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</si>
  <si>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</si>
  <si>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</si>
  <si>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</si>
  <si>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</si>
  <si>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</si>
  <si>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</si>
  <si>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</si>
  <si>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</si>
  <si>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</si>
  <si>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</si>
  <si>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</si>
  <si>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</si>
  <si>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</si>
  <si>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</si>
  <si>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</si>
  <si>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</si>
  <si>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</si>
  <si>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</si>
  <si>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</si>
  <si>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</si>
  <si>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</si>
  <si>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</si>
  <si>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</si>
  <si>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</si>
  <si>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</si>
  <si>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</si>
  <si>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</si>
  <si>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</si>
  <si>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</si>
  <si>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</si>
  <si>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</si>
  <si>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</si>
  <si>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</si>
  <si>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</si>
  <si>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</si>
  <si>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</si>
  <si>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</si>
  <si>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</si>
  <si>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</si>
  <si>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</si>
  <si>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</si>
  <si>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</si>
  <si>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</si>
  <si>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</si>
  <si>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</si>
  <si>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</si>
  <si>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</si>
  <si>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</si>
  <si>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</si>
  <si>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</si>
  <si>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</si>
  <si>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</si>
  <si>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</si>
  <si>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</si>
  <si>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</si>
  <si>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</si>
  <si>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</si>
  <si>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</si>
  <si>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</si>
  <si>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</si>
  <si>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</si>
  <si>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</si>
  <si>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</si>
  <si>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</si>
  <si>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</si>
  <si>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</si>
  <si>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</si>
  <si>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</si>
  <si>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</si>
  <si>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</si>
  <si>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</si>
  <si>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</si>
  <si>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</si>
  <si>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</si>
  <si>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</si>
  <si>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</si>
  <si>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</si>
  <si>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</si>
  <si>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</si>
  <si>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</si>
  <si>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</si>
  <si>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</si>
  <si>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</si>
  <si>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</si>
  <si>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</si>
  <si>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</si>
  <si>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</si>
  <si>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</si>
  <si>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</si>
  <si>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</si>
  <si>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</si>
  <si>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</si>
  <si>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</si>
  <si>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</si>
  <si>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</si>
  <si>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</si>
  <si>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</si>
  <si>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</si>
  <si>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</si>
  <si>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</si>
  <si>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</si>
  <si>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</si>
  <si>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</si>
  <si>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</si>
  <si>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</si>
  <si>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</si>
  <si>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</si>
  <si>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</si>
  <si>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</si>
  <si>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</si>
  <si>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</si>
  <si>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</si>
  <si>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</si>
  <si>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</si>
  <si>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</si>
  <si>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</si>
  <si>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</si>
  <si>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</si>
  <si>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</si>
  <si>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</si>
  <si>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</si>
  <si>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</si>
  <si>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</si>
  <si>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</si>
  <si>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</si>
  <si>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</si>
  <si>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</si>
  <si>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</si>
  <si>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</si>
  <si>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</si>
  <si>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</si>
  <si>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</si>
  <si>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</si>
  <si>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</si>
  <si>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</si>
  <si>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</si>
  <si>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</si>
  <si>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</si>
  <si>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</si>
  <si>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</si>
  <si>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</si>
  <si>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</si>
  <si>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</si>
  <si>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</si>
  <si>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</si>
  <si>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</si>
  <si>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</si>
  <si>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</si>
  <si>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</si>
  <si>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</si>
  <si>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</si>
  <si>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</si>
  <si>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</si>
  <si>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</si>
  <si>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</si>
  <si>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</si>
  <si>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</si>
  <si>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</si>
  <si>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</si>
  <si>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</si>
  <si>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</si>
  <si>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</si>
  <si>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</si>
  <si>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</si>
  <si>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</si>
  <si>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</si>
  <si>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</si>
  <si>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</si>
  <si>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</si>
  <si>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</si>
  <si>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</si>
  <si>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</si>
  <si>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</si>
  <si>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</si>
  <si>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</si>
  <si>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</si>
  <si>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</si>
  <si>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</si>
  <si>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</si>
  <si>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</si>
  <si>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</si>
  <si>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</si>
  <si>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</si>
  <si>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</si>
  <si>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</si>
  <si>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</si>
  <si>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</si>
  <si>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</si>
  <si>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</si>
  <si>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</si>
  <si>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</si>
  <si>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</si>
  <si>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</si>
  <si>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</si>
  <si>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</si>
  <si>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</si>
  <si>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</si>
  <si>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</si>
  <si>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</si>
  <si>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</si>
  <si>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</si>
  <si>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</si>
  <si>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</si>
  <si>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</si>
  <si>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</si>
  <si>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</si>
  <si>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</si>
  <si>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</si>
  <si>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</si>
  <si>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</si>
  <si>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</si>
  <si>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</si>
  <si>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</si>
  <si>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</si>
  <si>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</si>
  <si>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</si>
  <si>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</si>
  <si>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</si>
  <si>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</si>
  <si>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</si>
  <si>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</si>
  <si>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</si>
  <si>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</si>
  <si>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</si>
  <si>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</si>
  <si>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</si>
  <si>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</si>
  <si>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</si>
  <si>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</si>
  <si>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</si>
  <si>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</si>
  <si>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</si>
  <si>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</si>
  <si>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</si>
  <si>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</si>
  <si>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</si>
  <si>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</si>
  <si>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</si>
  <si>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</si>
  <si>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</si>
  <si>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</si>
  <si>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</si>
  <si>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</si>
  <si>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</si>
  <si>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</si>
  <si>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</si>
  <si>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</si>
  <si>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</si>
  <si>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</si>
  <si>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</si>
  <si>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</si>
  <si>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</si>
  <si>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</si>
  <si>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</si>
  <si>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</si>
  <si>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</si>
  <si>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</si>
  <si>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</si>
  <si>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</si>
  <si>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</si>
  <si>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</si>
  <si>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</si>
  <si>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</si>
  <si>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</si>
  <si>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</si>
  <si>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</si>
  <si>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</si>
  <si>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</si>
  <si>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</si>
  <si>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</si>
  <si>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</si>
  <si>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</si>
  <si>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</si>
  <si>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</si>
  <si>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</si>
  <si>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</si>
  <si>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</si>
  <si>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</si>
  <si>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</si>
  <si>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</si>
  <si>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</si>
  <si>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</si>
  <si>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</si>
  <si>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</si>
  <si>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</si>
  <si>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</si>
  <si>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</si>
  <si>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</si>
  <si>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</si>
  <si>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</si>
  <si>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</si>
  <si>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</si>
  <si>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</si>
  <si>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</si>
  <si>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</si>
  <si>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</si>
  <si>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</si>
  <si>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</si>
  <si>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</si>
  <si>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</si>
  <si>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</si>
  <si>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</si>
  <si>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</si>
  <si>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</si>
  <si>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</si>
  <si>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</si>
  <si>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</si>
  <si>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</si>
  <si>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</si>
  <si>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</si>
  <si>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</si>
  <si>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</si>
  <si>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</si>
  <si>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</si>
  <si>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</si>
  <si>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</si>
  <si>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</si>
  <si>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</si>
  <si>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</si>
  <si>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</si>
  <si>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</si>
  <si>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</si>
  <si>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</si>
  <si>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</si>
  <si>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</si>
  <si>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</si>
  <si>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</si>
  <si>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</si>
  <si>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</si>
  <si>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</si>
  <si>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</si>
  <si>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</si>
  <si>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</si>
  <si>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</si>
  <si>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</si>
  <si>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</si>
  <si>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</si>
  <si>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</si>
  <si>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</si>
  <si>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</si>
  <si>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</si>
  <si>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</si>
  <si>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</si>
  <si>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</si>
  <si>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</si>
  <si>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</si>
  <si>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</si>
  <si>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</si>
  <si>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</si>
  <si>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</si>
  <si>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</si>
  <si>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</si>
  <si>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</si>
  <si>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</si>
  <si>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</si>
  <si>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</si>
  <si>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</si>
  <si>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</si>
  <si>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</si>
  <si>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</si>
  <si>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</si>
  <si>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</si>
  <si>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</si>
  <si>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</si>
  <si>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</si>
  <si>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</si>
  <si>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</si>
  <si>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</si>
  <si>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</si>
  <si>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</si>
  <si>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</si>
  <si>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</si>
  <si>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</si>
  <si>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</si>
  <si>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</si>
  <si>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</si>
  <si>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</si>
  <si>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</si>
  <si>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</si>
  <si>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</si>
  <si>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</si>
  <si>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</si>
  <si>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</si>
  <si>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</si>
  <si>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</si>
  <si>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</si>
  <si>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</si>
  <si>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</si>
  <si>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</si>
  <si>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</si>
  <si>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</si>
  <si>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</si>
  <si>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</si>
  <si>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</si>
  <si>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</si>
  <si>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</si>
  <si>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</si>
  <si>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</si>
  <si>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</si>
  <si>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</si>
  <si>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</si>
  <si>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</si>
  <si>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</si>
  <si>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</si>
  <si>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</si>
  <si>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</si>
  <si>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</si>
  <si>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</si>
  <si>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</si>
  <si>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</si>
  <si>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</si>
  <si>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</si>
  <si>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</si>
  <si>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</si>
  <si>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</si>
  <si>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</si>
  <si>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</si>
  <si>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</si>
  <si>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</si>
  <si>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</si>
  <si>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</si>
  <si>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</si>
  <si>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</si>
  <si>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</si>
  <si>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</si>
  <si>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</si>
  <si>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</si>
  <si>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</si>
  <si>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</si>
  <si>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</si>
  <si>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</si>
  <si>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</si>
  <si>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</si>
  <si>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</si>
  <si>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</si>
  <si>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</si>
  <si>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</si>
  <si>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</si>
  <si>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</si>
  <si>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</si>
  <si>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</si>
  <si>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</si>
  <si>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</si>
  <si>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</si>
  <si>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</si>
  <si>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</si>
  <si>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</si>
  <si>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</si>
  <si>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</si>
  <si>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</si>
  <si>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</si>
  <si>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</si>
  <si>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</si>
  <si>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</si>
  <si>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</si>
  <si>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</si>
  <si>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</si>
  <si>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</si>
  <si>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</si>
  <si>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</si>
  <si>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</si>
  <si>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</si>
  <si>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</si>
  <si>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</si>
  <si>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</si>
  <si>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</si>
  <si>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</si>
  <si>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</si>
  <si>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</si>
  <si>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</si>
  <si>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</si>
  <si>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</si>
  <si>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</si>
  <si>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</si>
  <si>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</si>
  <si>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</si>
  <si>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</si>
  <si>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</si>
  <si>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</si>
  <si>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</si>
  <si>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</si>
  <si>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</si>
  <si>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</si>
  <si>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</si>
  <si>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</si>
  <si>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</si>
  <si>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</si>
  <si>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</si>
  <si>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</si>
  <si>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</si>
  <si>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</si>
  <si>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</si>
  <si>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</si>
  <si>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</si>
  <si>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</si>
  <si>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</si>
  <si>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</si>
  <si>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</si>
  <si>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</si>
  <si>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</si>
  <si>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</si>
  <si>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</si>
  <si>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</si>
  <si>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</si>
  <si>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</si>
  <si>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</si>
  <si>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</si>
  <si>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</si>
  <si>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</si>
  <si>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</si>
  <si>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</si>
  <si>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</si>
  <si>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</si>
  <si>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</si>
  <si>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</si>
  <si>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</si>
  <si>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</si>
  <si>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</si>
  <si>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</si>
  <si>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</si>
  <si>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</si>
  <si>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</si>
  <si>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</si>
  <si>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</si>
  <si>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</si>
  <si>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</si>
  <si>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</si>
  <si>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</si>
  <si>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</si>
  <si>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</si>
  <si>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</si>
  <si>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</si>
  <si>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</si>
  <si>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</si>
  <si>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</si>
  <si>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</si>
  <si>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</si>
  <si>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</si>
  <si>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</si>
  <si>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</si>
  <si>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</si>
  <si>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</si>
  <si>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</si>
  <si>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</si>
  <si>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</si>
  <si>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</si>
  <si>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</si>
  <si>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</si>
  <si>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</si>
  <si>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</si>
  <si>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</si>
  <si>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</si>
  <si>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</si>
  <si>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</si>
  <si>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</si>
  <si>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</si>
  <si>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</si>
  <si>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</si>
  <si>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</si>
  <si>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</si>
  <si>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</si>
  <si>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</si>
  <si>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</si>
  <si>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</si>
  <si>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</si>
  <si>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</si>
  <si>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</si>
  <si>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</si>
  <si>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</si>
  <si>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</si>
  <si>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</si>
  <si>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</si>
  <si>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</si>
  <si>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</si>
  <si>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</si>
  <si>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</si>
  <si>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</si>
  <si>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</si>
  <si>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</si>
  <si>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</si>
  <si>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</si>
  <si>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</si>
  <si>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</si>
  <si>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</si>
  <si>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</si>
  <si>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</si>
  <si>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</si>
  <si>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</si>
  <si>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</si>
  <si>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</si>
  <si>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</si>
  <si>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</si>
  <si>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</si>
  <si>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</si>
  <si>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</si>
  <si>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</si>
  <si>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</si>
  <si>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</si>
  <si>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</si>
  <si>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</si>
  <si>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</si>
  <si>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</si>
  <si>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</si>
  <si>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</si>
  <si>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</si>
  <si>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</si>
  <si>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</si>
  <si>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</si>
  <si>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</si>
  <si>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</si>
  <si>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</si>
  <si>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</si>
  <si>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</si>
  <si>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</si>
  <si>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</si>
  <si>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</si>
  <si>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</si>
  <si>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</si>
  <si>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</si>
  <si>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</si>
  <si>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</si>
  <si>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</si>
  <si>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</si>
  <si>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</si>
  <si>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</si>
  <si>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</si>
  <si>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</si>
  <si>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</si>
  <si>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</si>
  <si>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</si>
  <si>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</si>
  <si>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</si>
  <si>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</si>
  <si>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</si>
  <si>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</si>
  <si>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</si>
  <si>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</si>
  <si>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</si>
  <si>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</si>
  <si>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</si>
  <si>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</si>
  <si>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</si>
  <si>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</si>
  <si>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</si>
  <si>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</si>
  <si>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</si>
  <si>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</si>
  <si>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</si>
  <si>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</si>
  <si>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</si>
  <si>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</si>
  <si>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</si>
  <si>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</si>
  <si>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</si>
  <si>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</si>
  <si>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</si>
  <si>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</si>
  <si>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</si>
  <si>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</si>
  <si>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</si>
  <si>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</si>
  <si>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</si>
  <si>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</si>
  <si>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</si>
  <si>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</si>
  <si>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</si>
  <si>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</si>
  <si>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</si>
  <si>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</si>
  <si>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</si>
  <si>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</si>
  <si>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</si>
  <si>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</si>
  <si>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</si>
  <si>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</si>
  <si>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</si>
  <si>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</si>
  <si>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</si>
  <si>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</si>
  <si>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</si>
  <si>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</si>
  <si>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</si>
  <si>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</si>
  <si>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</si>
  <si>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</si>
  <si>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</si>
  <si>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</si>
  <si>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</si>
  <si>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</si>
  <si>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</si>
  <si>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</si>
  <si>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</si>
  <si>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</si>
  <si>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</si>
  <si>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</si>
  <si>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</si>
  <si>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</si>
  <si>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</si>
  <si>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</si>
  <si>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</si>
  <si>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</si>
  <si>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</si>
  <si>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</si>
  <si>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</si>
  <si>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</si>
  <si>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</si>
  <si>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</si>
  <si>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</si>
  <si>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</si>
  <si>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</si>
  <si>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</si>
  <si>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</si>
  <si>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</si>
  <si>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</si>
  <si>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</si>
  <si>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</si>
  <si>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</si>
  <si>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</si>
  <si>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</si>
  <si>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</si>
  <si>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</si>
  <si>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</si>
  <si>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</si>
  <si>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</si>
  <si>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</si>
  <si>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</si>
  <si>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</si>
  <si>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</si>
  <si>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</si>
  <si>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</si>
  <si>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</si>
  <si>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</si>
  <si>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</si>
  <si>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</si>
  <si>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</si>
  <si>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</si>
  <si>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</si>
  <si>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</si>
  <si>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</si>
  <si>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</si>
  <si>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</si>
  <si>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</si>
  <si>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</si>
  <si>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</si>
  <si>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</si>
  <si>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</si>
  <si>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</si>
  <si>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</si>
  <si>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</si>
  <si>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</si>
  <si>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</si>
  <si>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</si>
  <si>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</si>
  <si>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</si>
  <si>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</si>
  <si>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</si>
  <si>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</si>
  <si>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</si>
  <si>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</si>
  <si>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</si>
  <si>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</si>
  <si>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</si>
  <si>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</si>
  <si>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</si>
  <si>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</si>
  <si>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</si>
  <si>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</si>
  <si>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</si>
  <si>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</si>
  <si>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</si>
  <si>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</si>
  <si>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</si>
  <si>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</si>
  <si>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</si>
  <si>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</si>
  <si>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</si>
  <si>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</si>
  <si>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</si>
  <si>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</si>
  <si>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</si>
  <si>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</si>
  <si>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</si>
  <si>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</si>
  <si>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</si>
  <si>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</si>
  <si>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</si>
  <si>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</si>
  <si>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</si>
  <si>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</si>
  <si>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</si>
  <si>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</si>
  <si>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</si>
  <si>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</si>
  <si>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</si>
  <si>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</si>
  <si>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</si>
  <si>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</si>
  <si>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</si>
  <si>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</si>
  <si>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</si>
  <si>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</si>
  <si>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</si>
  <si>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</si>
  <si>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</si>
  <si>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</si>
  <si>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</si>
  <si>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</si>
  <si>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</si>
  <si>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</si>
  <si>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</si>
  <si>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</si>
  <si>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</si>
  <si>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</si>
  <si>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</si>
  <si>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</si>
  <si>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</si>
  <si>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</si>
  <si>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</si>
  <si>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</si>
  <si>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</si>
  <si>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</si>
  <si>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</si>
  <si>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</si>
  <si>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</si>
  <si>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</si>
  <si>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</si>
  <si>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</si>
  <si>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</si>
  <si>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</si>
  <si>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</si>
  <si>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</si>
  <si>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</si>
  <si>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</si>
  <si>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</si>
  <si>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</si>
  <si>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</si>
  <si>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</si>
  <si>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</si>
  <si>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</si>
  <si>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</si>
  <si>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</si>
  <si>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</si>
  <si>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</si>
  <si>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</si>
  <si>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</si>
  <si>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</si>
  <si>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</si>
  <si>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</si>
  <si>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</si>
  <si>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</si>
  <si>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</si>
  <si>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</si>
  <si>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</si>
  <si>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</si>
  <si>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</si>
  <si>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</si>
  <si>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</si>
  <si>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</si>
  <si>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</si>
  <si>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</si>
  <si>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</si>
  <si>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</si>
  <si>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</si>
  <si>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</si>
  <si>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</si>
  <si>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</si>
  <si>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</si>
  <si>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</si>
  <si>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</si>
  <si>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</si>
  <si>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</si>
  <si>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</si>
  <si>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</si>
  <si>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</si>
  <si>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</si>
  <si>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</si>
  <si>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</si>
  <si>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</si>
  <si>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</si>
  <si>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</si>
  <si>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</si>
  <si>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</si>
  <si>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</si>
  <si>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</si>
  <si>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</si>
  <si>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</si>
  <si>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</si>
  <si>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</si>
  <si>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</si>
  <si>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</si>
  <si>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</si>
  <si>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</si>
  <si>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</si>
  <si>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</si>
  <si>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</si>
  <si>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</si>
  <si>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</si>
  <si>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</si>
  <si>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</si>
  <si>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</si>
  <si>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</si>
  <si>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</si>
  <si>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</si>
  <si>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</si>
  <si>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</si>
  <si>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</si>
  <si>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</si>
  <si>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</si>
  <si>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</si>
  <si>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</si>
  <si>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</si>
  <si>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</si>
  <si>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</si>
  <si>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</si>
  <si>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</si>
  <si>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</si>
  <si>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</si>
  <si>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</si>
  <si>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</si>
  <si>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</si>
  <si>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</si>
  <si>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</si>
  <si>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</si>
  <si>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</si>
  <si>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</si>
  <si>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</si>
  <si>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</si>
  <si>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</si>
  <si>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</si>
  <si>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</si>
  <si>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</si>
  <si>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</si>
  <si>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</si>
  <si>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</si>
  <si>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</si>
  <si>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</si>
  <si>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</si>
  <si>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</si>
  <si>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</si>
  <si>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</si>
  <si>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</si>
  <si>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</si>
  <si>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</si>
  <si>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</si>
  <si>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</si>
  <si>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</si>
  <si>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</si>
  <si>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</si>
  <si>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</si>
  <si>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</si>
  <si>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</si>
  <si>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</si>
  <si>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</si>
  <si>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</si>
  <si>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</si>
  <si>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</si>
  <si>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</si>
  <si>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</si>
  <si>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</si>
  <si>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</si>
  <si>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</si>
  <si>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</si>
  <si>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</si>
  <si>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</si>
  <si>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</si>
  <si>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</si>
  <si>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</si>
  <si>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</si>
  <si>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</si>
  <si>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</si>
  <si>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</si>
  <si>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</si>
  <si>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</si>
  <si>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</si>
  <si>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</si>
  <si>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</si>
  <si>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</si>
  <si>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</si>
  <si>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</si>
  <si>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</si>
  <si>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</si>
  <si>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</si>
  <si>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</si>
  <si>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</si>
  <si>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</si>
  <si>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</si>
  <si>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</si>
  <si>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</si>
  <si>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</si>
  <si>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</si>
  <si>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</si>
  <si>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</si>
  <si>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</si>
  <si>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</si>
  <si>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</si>
  <si>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</si>
  <si>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</si>
  <si>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</si>
  <si>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</si>
  <si>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</si>
  <si>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</si>
  <si>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</si>
  <si>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</si>
  <si>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</si>
  <si>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</si>
  <si>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</si>
  <si>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</si>
  <si>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</si>
  <si>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</si>
  <si>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</si>
  <si>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</si>
  <si>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</si>
  <si>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</si>
  <si>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</si>
  <si>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</si>
  <si>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</si>
  <si>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</si>
  <si>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</si>
  <si>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</si>
  <si>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</si>
  <si>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</si>
  <si>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</si>
  <si>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</si>
  <si>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</si>
  <si>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</si>
  <si>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</si>
  <si>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</si>
  <si>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</si>
  <si>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</si>
  <si>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</si>
  <si>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</si>
  <si>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</si>
  <si>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</si>
  <si>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</si>
  <si>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</si>
  <si>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</si>
  <si>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</si>
  <si>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</si>
  <si>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</si>
  <si>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</si>
  <si>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</si>
  <si>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</si>
  <si>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</si>
  <si>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</si>
  <si>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</si>
  <si>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</si>
  <si>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</si>
  <si>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</si>
  <si>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</si>
  <si>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</si>
  <si>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</si>
  <si>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</si>
  <si>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</si>
  <si>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</si>
  <si>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</si>
  <si>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</si>
  <si>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</si>
  <si>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</si>
  <si>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</si>
  <si>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</si>
  <si>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</si>
  <si>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</si>
  <si>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</si>
  <si>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</si>
  <si>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</si>
  <si>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</si>
  <si>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</si>
  <si>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</si>
  <si>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</si>
  <si>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</si>
  <si>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</si>
  <si>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</si>
  <si>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</si>
  <si>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</si>
  <si>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</si>
  <si>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</si>
  <si>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</si>
  <si>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</si>
  <si>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</si>
  <si>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</si>
  <si>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</si>
  <si>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</si>
  <si>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</si>
  <si>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</si>
  <si>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</si>
  <si>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</si>
  <si>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</si>
  <si>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</si>
  <si>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</si>
  <si>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</si>
  <si>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</si>
  <si>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</si>
  <si>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</si>
  <si>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</si>
  <si>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</si>
  <si>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</si>
  <si>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</si>
  <si>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</si>
  <si>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</si>
  <si>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</si>
  <si>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</si>
  <si>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</si>
  <si>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</si>
  <si>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</si>
  <si>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</si>
  <si>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</si>
  <si>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</si>
  <si>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</si>
  <si>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</si>
  <si>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</si>
  <si>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</si>
  <si>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</si>
  <si>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</si>
  <si>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</si>
  <si>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</si>
  <si>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</si>
  <si>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</si>
  <si>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</si>
  <si>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</si>
  <si>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</si>
  <si>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</si>
  <si>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</si>
  <si>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</si>
  <si>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</si>
  <si>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</si>
  <si>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</si>
  <si>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</si>
  <si>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</si>
  <si>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</si>
  <si>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</si>
  <si>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</si>
  <si>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</si>
  <si>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</si>
  <si>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</si>
  <si>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</si>
  <si>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</si>
  <si>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</si>
  <si>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</si>
  <si>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</si>
  <si>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</si>
  <si>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</si>
  <si>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</si>
  <si>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</si>
  <si>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</si>
  <si>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</si>
  <si>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</si>
  <si>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</si>
  <si>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</si>
  <si>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</si>
  <si>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</si>
  <si>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</si>
  <si>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</si>
  <si>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</si>
  <si>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</si>
  <si>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</si>
  <si>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</si>
  <si>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</si>
  <si>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</si>
  <si>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</si>
  <si>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</si>
  <si>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</si>
  <si>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</si>
  <si>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</si>
  <si>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</si>
  <si>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</si>
  <si>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</si>
  <si>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</si>
  <si>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</si>
  <si>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</si>
  <si>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</si>
  <si>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</si>
  <si>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</si>
  <si>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</si>
  <si>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</si>
  <si>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</si>
  <si>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</si>
  <si>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</si>
  <si>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</si>
  <si>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</si>
  <si>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</si>
  <si>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</si>
  <si>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</si>
  <si>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</si>
  <si>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</si>
  <si>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</si>
  <si>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</si>
  <si>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</si>
  <si>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</si>
  <si>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</si>
  <si>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</si>
  <si>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</si>
  <si>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</si>
  <si>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</si>
  <si>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</si>
  <si>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</si>
  <si>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</si>
  <si>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</si>
  <si>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</si>
  <si>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</si>
  <si>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</si>
  <si>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</si>
  <si>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</si>
  <si>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</si>
  <si>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</si>
  <si>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</si>
  <si>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</si>
  <si>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</si>
  <si>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</si>
  <si>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</si>
  <si>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</si>
  <si>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</si>
  <si>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</si>
  <si>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</si>
  <si>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</si>
  <si>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</si>
  <si>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</si>
  <si>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</si>
  <si>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</si>
  <si>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</si>
  <si>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</si>
  <si>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</si>
  <si>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</si>
  <si>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</si>
  <si>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</si>
  <si>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</si>
  <si>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</si>
  <si>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</si>
  <si>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</si>
  <si>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</si>
  <si>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</si>
  <si>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</si>
  <si>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</si>
  <si>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</si>
  <si>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</si>
  <si>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</si>
  <si>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</si>
  <si>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</si>
  <si>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</si>
  <si>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</si>
  <si>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</si>
  <si>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</si>
  <si>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</si>
  <si>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</si>
  <si>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</si>
  <si>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</si>
  <si>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</si>
  <si>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</si>
  <si>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</si>
  <si>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</si>
  <si>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</si>
  <si>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</si>
  <si>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</si>
  <si>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</si>
  <si>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</si>
  <si>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</si>
  <si>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</si>
  <si>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</si>
  <si>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</si>
  <si>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</si>
  <si>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</si>
  <si>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</si>
  <si>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</si>
  <si>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</si>
  <si>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</si>
  <si>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</si>
  <si>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</si>
  <si>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</si>
  <si>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</si>
  <si>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</si>
  <si>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</si>
  <si>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</si>
  <si>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</si>
  <si>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</si>
  <si>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</si>
  <si>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</si>
  <si>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</si>
  <si>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</si>
  <si>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</si>
  <si>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</si>
  <si>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</si>
  <si>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</si>
  <si>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</si>
  <si>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</si>
  <si>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</si>
  <si>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</si>
  <si>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</si>
  <si>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</si>
  <si>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</si>
  <si>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</si>
  <si>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</si>
  <si>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</si>
  <si>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</si>
  <si>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</si>
  <si>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</si>
  <si>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</si>
  <si>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</si>
  <si>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</si>
  <si>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</si>
  <si>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</si>
  <si>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</si>
  <si>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</si>
  <si>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</si>
  <si>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</si>
  <si>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</si>
  <si>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</si>
  <si>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</si>
  <si>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</si>
  <si>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</si>
  <si>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</si>
  <si>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</si>
  <si>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</si>
  <si>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</si>
  <si>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</si>
  <si>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</si>
  <si>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</si>
  <si>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</si>
  <si>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</si>
  <si>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</si>
  <si>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</si>
  <si>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</si>
  <si>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</si>
  <si>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</si>
  <si>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</si>
  <si>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</si>
  <si>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</si>
  <si>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</si>
  <si>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</si>
  <si>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</si>
  <si>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</si>
  <si>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</si>
  <si>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</si>
  <si>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</si>
  <si>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</si>
  <si>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</si>
  <si>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</si>
  <si>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</si>
  <si>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</si>
  <si>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</si>
  <si>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</si>
  <si>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</si>
  <si>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</si>
  <si>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</si>
  <si>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</si>
  <si>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</si>
  <si>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</si>
  <si>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</si>
  <si>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</si>
  <si>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</si>
  <si>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</si>
  <si>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</si>
  <si>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</si>
  <si>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</si>
  <si>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</si>
  <si>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</si>
  <si>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</si>
  <si>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</si>
  <si>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</si>
  <si>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</si>
  <si>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</si>
  <si>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</si>
  <si>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</si>
  <si>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</si>
  <si>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</si>
  <si>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</si>
  <si>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</si>
  <si>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</si>
  <si>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</si>
  <si>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</si>
  <si>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</si>
  <si>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</si>
  <si>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</si>
  <si>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</si>
  <si>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</si>
  <si>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</si>
  <si>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</si>
  <si>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</si>
  <si>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</si>
  <si>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</si>
  <si>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</si>
  <si>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</si>
  <si>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</si>
  <si>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</si>
  <si>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</si>
  <si>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</si>
  <si>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</si>
  <si>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</si>
  <si>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</si>
  <si>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</si>
  <si>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</si>
  <si>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</si>
  <si>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</si>
  <si>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</si>
  <si>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</si>
  <si>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</si>
  <si>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</si>
  <si>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</si>
  <si>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</si>
  <si>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</si>
  <si>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</si>
  <si>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</si>
  <si>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</si>
  <si>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</si>
  <si>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</si>
  <si>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</si>
  <si>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</si>
  <si>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</si>
  <si>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</si>
  <si>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</si>
  <si>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</si>
  <si>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</si>
  <si>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</si>
  <si>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</si>
  <si>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</si>
  <si>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</si>
  <si>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</si>
  <si>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</si>
  <si>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</si>
  <si>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</si>
  <si>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</si>
  <si>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</si>
  <si>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</si>
  <si>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</si>
  <si>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</si>
  <si>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</si>
  <si>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</si>
  <si>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</si>
  <si>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</si>
  <si>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</si>
  <si>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</si>
  <si>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</si>
  <si>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</si>
  <si>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</si>
  <si>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</si>
  <si>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</si>
  <si>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</si>
  <si>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</si>
  <si>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</si>
  <si>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</si>
  <si>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</si>
  <si>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</si>
  <si>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</si>
  <si>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</si>
  <si>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</si>
  <si>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</si>
  <si>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</si>
  <si>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</si>
  <si>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</si>
  <si>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</si>
  <si>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</si>
  <si>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</si>
  <si>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</si>
  <si>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</si>
  <si>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</si>
  <si>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</si>
  <si>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</si>
  <si>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</si>
  <si>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</si>
  <si>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</si>
  <si>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</si>
  <si>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</si>
  <si>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</si>
  <si>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</si>
  <si>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</si>
  <si>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</si>
  <si>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</si>
  <si>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</si>
  <si>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</si>
  <si>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</si>
  <si>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</si>
  <si>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</si>
  <si>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</si>
  <si>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</si>
  <si>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</si>
  <si>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</si>
  <si>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</si>
  <si>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</si>
  <si>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</si>
  <si>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</si>
  <si>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</si>
  <si>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</si>
  <si>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</si>
  <si>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</si>
  <si>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</si>
  <si>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</si>
  <si>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</si>
  <si>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</si>
  <si>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</si>
  <si>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</si>
  <si>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</si>
  <si>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</si>
  <si>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</si>
  <si>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</si>
  <si>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</si>
  <si>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</si>
  <si>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</si>
  <si>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</si>
  <si>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</si>
  <si>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</si>
  <si>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</si>
  <si>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</si>
  <si>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</si>
  <si>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</si>
  <si>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</si>
  <si>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</si>
  <si>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</si>
  <si>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</si>
  <si>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</si>
  <si>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</si>
  <si>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</si>
  <si>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</si>
  <si>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</si>
  <si>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</si>
  <si>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</si>
  <si>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</si>
  <si>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</si>
  <si>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</si>
  <si>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</si>
  <si>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</si>
  <si>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</si>
  <si>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</si>
  <si>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</si>
  <si>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</si>
  <si>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</si>
  <si>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</si>
  <si>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</si>
  <si>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</si>
  <si>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</si>
  <si>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</si>
  <si>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</si>
  <si>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</si>
  <si>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</si>
  <si>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</si>
  <si>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</si>
  <si>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</si>
  <si>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</si>
  <si>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</si>
  <si>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</si>
  <si>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</si>
  <si>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</si>
  <si>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</si>
  <si>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</si>
  <si>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</si>
  <si>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</si>
  <si>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</si>
  <si>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</si>
  <si>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</si>
  <si>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</si>
  <si>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</si>
  <si>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</si>
  <si>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</si>
  <si>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</si>
  <si>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</si>
  <si>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</si>
  <si>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</si>
  <si>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</si>
  <si>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</si>
  <si>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</si>
  <si>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</si>
  <si>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</si>
  <si>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</si>
  <si>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</si>
  <si>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</si>
  <si>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</si>
  <si>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</si>
  <si>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</si>
  <si>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</si>
  <si>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</si>
  <si>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</si>
  <si>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</si>
  <si>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</si>
  <si>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</si>
  <si>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</si>
  <si>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</si>
  <si>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</si>
  <si>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</si>
  <si>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</si>
  <si>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</si>
  <si>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</si>
  <si>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</si>
  <si>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</si>
  <si>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</si>
  <si>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</si>
  <si>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</si>
  <si>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</si>
  <si>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</si>
  <si>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</si>
  <si>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</si>
  <si>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</si>
  <si>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</si>
  <si>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</si>
  <si>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</si>
  <si>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</si>
  <si>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</si>
  <si>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</si>
  <si>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</si>
  <si>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</si>
  <si>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</si>
  <si>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</si>
  <si>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</si>
  <si>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</si>
  <si>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</si>
  <si>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</si>
  <si>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</si>
  <si>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</si>
  <si>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</si>
  <si>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</si>
  <si>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</si>
  <si>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</si>
  <si>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</si>
  <si>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</si>
  <si>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</si>
  <si>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</si>
  <si>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</si>
  <si>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</si>
  <si>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</si>
  <si>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</si>
  <si>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</si>
  <si>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</si>
  <si>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</si>
  <si>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</si>
  <si>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</si>
  <si>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</si>
  <si>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</si>
  <si>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</si>
  <si>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</si>
  <si>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</si>
  <si>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</si>
  <si>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</si>
  <si>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</si>
  <si>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</si>
  <si>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</si>
  <si>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</si>
  <si>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</si>
  <si>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</si>
  <si>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</si>
  <si>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</si>
  <si>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</si>
  <si>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</si>
  <si>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</si>
  <si>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</si>
  <si>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</si>
  <si>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</si>
  <si>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</si>
  <si>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</si>
  <si>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</si>
  <si>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</si>
  <si>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</si>
  <si>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</si>
  <si>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</si>
  <si>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</si>
  <si>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</si>
  <si>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</si>
  <si>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</si>
  <si>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</si>
  <si>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</si>
  <si>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</si>
  <si>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</si>
  <si>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</si>
  <si>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</si>
  <si>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</si>
  <si>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</si>
  <si>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</si>
  <si>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</si>
  <si>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</si>
  <si>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</si>
  <si>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</si>
  <si>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</si>
  <si>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</si>
  <si>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</si>
  <si>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</si>
  <si>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</si>
  <si>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</si>
  <si>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</si>
  <si>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</si>
  <si>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</si>
  <si>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</si>
  <si>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</si>
  <si>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</si>
  <si>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</si>
  <si>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</si>
  <si>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</si>
  <si>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</si>
  <si>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</si>
  <si>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</si>
  <si>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</si>
  <si>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</si>
  <si>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</si>
  <si>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</si>
  <si>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</si>
  <si>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</si>
  <si>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</si>
  <si>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</si>
  <si>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</si>
  <si>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</si>
  <si>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</si>
  <si>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</si>
  <si>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</si>
  <si>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</si>
  <si>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</si>
  <si>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</si>
  <si>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</si>
  <si>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</si>
  <si>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</si>
  <si>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</si>
  <si>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</si>
  <si>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</si>
  <si>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</si>
  <si>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</si>
  <si>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</si>
  <si>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</si>
  <si>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</si>
  <si>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</si>
  <si>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</si>
  <si>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</si>
  <si>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</si>
  <si>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</si>
  <si>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</si>
  <si>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</si>
  <si>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</si>
  <si>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</si>
  <si>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</si>
  <si>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</si>
  <si>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</si>
  <si>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</si>
  <si>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</si>
  <si>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</si>
  <si>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</si>
  <si>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</si>
  <si>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</si>
  <si>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</si>
  <si>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</si>
  <si>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</si>
  <si>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</si>
  <si>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</si>
  <si>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</si>
  <si>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</si>
  <si>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</si>
  <si>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</si>
  <si>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</si>
  <si>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</si>
  <si>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</si>
  <si>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</si>
  <si>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</si>
  <si>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</si>
  <si>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</si>
  <si>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</si>
  <si>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</si>
  <si>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</si>
  <si>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</si>
  <si>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</si>
  <si>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</si>
  <si>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</si>
  <si>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</si>
  <si>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</si>
  <si>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</si>
  <si>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</si>
  <si>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</si>
  <si>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</si>
  <si>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</si>
  <si>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</si>
  <si>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</si>
  <si>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</si>
  <si>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</si>
  <si>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</si>
  <si>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</si>
  <si>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</si>
  <si>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</si>
  <si>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</si>
  <si>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</si>
  <si>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</si>
  <si>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</si>
  <si>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</si>
  <si>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</si>
  <si>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</si>
  <si>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</si>
  <si>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</si>
  <si>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</si>
  <si>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</si>
  <si>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</si>
  <si>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</si>
  <si>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</si>
  <si>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</si>
  <si>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</si>
  <si>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</si>
  <si>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</si>
  <si>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</si>
  <si>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</si>
  <si>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</si>
  <si>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</si>
  <si>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</si>
  <si>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</si>
  <si>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</si>
  <si>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</si>
  <si>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</si>
  <si>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</si>
  <si>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</si>
  <si>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</si>
  <si>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</si>
  <si>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</si>
  <si>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</si>
  <si>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</si>
  <si>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</si>
  <si>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</si>
  <si>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</si>
  <si>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</si>
  <si>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</si>
  <si>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</si>
  <si>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</si>
  <si>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</si>
  <si>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</si>
  <si>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</si>
  <si>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</si>
  <si>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</si>
  <si>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</si>
  <si>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</si>
  <si>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</si>
  <si>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</si>
  <si>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</si>
  <si>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</si>
  <si>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</si>
  <si>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</si>
  <si>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</si>
  <si>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</si>
  <si>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</si>
  <si>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</si>
  <si>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</si>
  <si>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</si>
  <si>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</si>
  <si>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</si>
  <si>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</si>
  <si>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</si>
  <si>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</si>
  <si>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</si>
  <si>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</si>
  <si>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</si>
  <si>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</si>
  <si>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</si>
  <si>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</si>
  <si>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</si>
  <si>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</si>
  <si>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</si>
  <si>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</si>
  <si>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</si>
  <si>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</si>
  <si>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</si>
  <si>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</si>
  <si>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</si>
  <si>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</si>
  <si>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</si>
  <si>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</si>
  <si>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</si>
  <si>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</si>
  <si>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</si>
  <si>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</si>
  <si>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</si>
  <si>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</si>
  <si>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</si>
  <si>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</si>
  <si>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</si>
  <si>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</si>
  <si>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</si>
  <si>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</si>
  <si>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</si>
  <si>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</si>
  <si>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</si>
  <si>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</si>
  <si>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</si>
  <si>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</si>
  <si>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</si>
  <si>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</si>
  <si>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</si>
  <si>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</si>
  <si>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</si>
  <si>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</si>
  <si>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</si>
  <si>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</si>
  <si>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</si>
  <si>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</si>
  <si>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</si>
  <si>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</si>
  <si>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</si>
  <si>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</si>
  <si>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</si>
  <si>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</si>
  <si>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</si>
  <si>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</si>
  <si>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</si>
  <si>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</si>
  <si>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</si>
  <si>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</si>
  <si>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</si>
  <si>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</si>
  <si>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</si>
  <si>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</si>
  <si>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</si>
  <si>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</si>
  <si>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</si>
  <si>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</si>
  <si>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</si>
  <si>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</si>
  <si>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</si>
  <si>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</si>
  <si>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</si>
  <si>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</si>
  <si>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</si>
  <si>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</si>
  <si>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</si>
  <si>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</si>
  <si>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</si>
  <si>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</si>
  <si>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</si>
  <si>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</si>
  <si>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</si>
  <si>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</si>
  <si>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</si>
  <si>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</si>
  <si>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</si>
  <si>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</si>
  <si>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</si>
  <si>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</si>
  <si>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</si>
  <si>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</si>
  <si>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</si>
  <si>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</si>
  <si>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</si>
  <si>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</si>
  <si>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</si>
  <si>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</si>
  <si>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</si>
  <si>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</si>
  <si>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</si>
  <si>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</si>
  <si>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</si>
  <si>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</si>
  <si>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</si>
  <si>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</si>
  <si>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</si>
  <si>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</si>
  <si>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</si>
  <si>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</si>
  <si>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</si>
  <si>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</si>
  <si>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</si>
  <si>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</si>
  <si>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</si>
  <si>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</si>
  <si>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</si>
  <si>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</si>
  <si>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</si>
  <si>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</si>
  <si>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</si>
  <si>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</si>
  <si>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</si>
  <si>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</si>
  <si>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</si>
  <si>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</si>
  <si>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</si>
  <si>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</si>
  <si>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</si>
  <si>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</si>
  <si>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</si>
  <si>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</si>
  <si>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</si>
  <si>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</si>
  <si>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</si>
  <si>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</si>
  <si>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</si>
  <si>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</si>
  <si>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</si>
  <si>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</si>
  <si>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</si>
  <si>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</si>
  <si>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</si>
  <si>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</si>
  <si>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</si>
  <si>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</si>
  <si>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</si>
  <si>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</si>
  <si>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</si>
  <si>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</si>
  <si>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</si>
  <si>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</si>
  <si>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</si>
  <si>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</si>
  <si>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</si>
  <si>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</si>
  <si>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</si>
  <si>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</si>
  <si>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</si>
  <si>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</si>
  <si>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</si>
  <si>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</si>
  <si>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</si>
  <si>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</si>
  <si>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</si>
  <si>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</si>
  <si>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</si>
  <si>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</si>
  <si>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</si>
  <si>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</si>
  <si>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</si>
  <si>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</si>
  <si>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</si>
  <si>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</si>
  <si>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</si>
  <si>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</si>
  <si>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</si>
  <si>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</si>
  <si>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</si>
  <si>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</si>
  <si>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</si>
  <si>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</si>
  <si>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</si>
  <si>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</si>
  <si>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</si>
  <si>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</si>
  <si>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</si>
  <si>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</si>
  <si>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</si>
  <si>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</si>
  <si>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</si>
  <si>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</si>
  <si>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</si>
  <si>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</si>
  <si>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</si>
  <si>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</si>
  <si>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</si>
  <si>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</si>
  <si>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</si>
  <si>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</si>
  <si>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</si>
  <si>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</si>
  <si>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</si>
  <si>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</si>
  <si>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</si>
  <si>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</si>
  <si>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</si>
  <si>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</si>
  <si>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</si>
  <si>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</si>
  <si>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</si>
  <si>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</si>
  <si>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</si>
  <si>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</si>
  <si>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</si>
  <si>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</si>
  <si>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</si>
  <si>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</si>
  <si>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</si>
  <si>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</si>
  <si>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</si>
  <si>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</si>
  <si>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</si>
  <si>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</si>
  <si>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</si>
  <si>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</si>
  <si>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</si>
  <si>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</si>
  <si>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</si>
  <si>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</si>
  <si>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</si>
  <si>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</si>
  <si>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</si>
  <si>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</si>
  <si>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</si>
  <si>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</si>
  <si>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</si>
  <si>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</si>
  <si>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</si>
  <si>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</si>
  <si>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</si>
  <si>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</si>
  <si>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</si>
  <si>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</si>
  <si>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</si>
  <si>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</si>
  <si>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</si>
  <si>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</si>
  <si>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</si>
  <si>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</si>
  <si>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</si>
  <si>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</si>
  <si>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</si>
  <si>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</si>
  <si>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</si>
  <si>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</si>
  <si>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</si>
  <si>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</si>
  <si>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</si>
  <si>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</si>
  <si>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</si>
  <si>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</si>
  <si>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</si>
  <si>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</si>
  <si>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</si>
  <si>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</si>
  <si>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</si>
  <si>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</si>
  <si>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</si>
  <si>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</si>
  <si>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</si>
  <si>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</si>
  <si>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</si>
  <si>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</si>
  <si>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</si>
  <si>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</si>
  <si>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</si>
  <si>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</si>
  <si>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</si>
  <si>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</si>
  <si>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</si>
  <si>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</si>
  <si>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</si>
  <si>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</si>
  <si>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</si>
  <si>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</si>
  <si>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</si>
  <si>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</si>
  <si>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</si>
  <si>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</si>
  <si>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</si>
  <si>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</si>
  <si>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</si>
  <si>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</si>
  <si>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</si>
  <si>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</si>
  <si>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</si>
  <si>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</si>
  <si>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</si>
  <si>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</si>
  <si>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</si>
  <si>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</si>
  <si>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</si>
  <si>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</si>
  <si>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</si>
  <si>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</si>
  <si>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</si>
  <si>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</si>
  <si>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</si>
  <si>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</si>
  <si>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</si>
  <si>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</si>
  <si>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</si>
  <si>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</si>
  <si>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</si>
  <si>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</si>
  <si>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</si>
  <si>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</si>
  <si>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</si>
  <si>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</si>
  <si>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</si>
  <si>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</si>
  <si>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</si>
  <si>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</si>
  <si>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</si>
  <si>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</si>
  <si>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</si>
  <si>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</si>
  <si>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</si>
  <si>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</si>
  <si>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</si>
  <si>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</si>
  <si>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</si>
  <si>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</si>
  <si>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</si>
  <si>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</si>
  <si>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</si>
  <si>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</si>
  <si>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</si>
  <si>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</si>
  <si>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</si>
  <si>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</si>
  <si>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</si>
  <si>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</si>
  <si>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</si>
  <si>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</si>
  <si>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</si>
  <si>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</si>
  <si>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</si>
  <si>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</si>
  <si>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</si>
  <si>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</si>
  <si>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</si>
  <si>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</si>
  <si>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</si>
  <si>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</si>
  <si>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</si>
  <si>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</si>
  <si>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</si>
  <si>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</si>
  <si>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</si>
  <si>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</si>
  <si>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</si>
  <si>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</si>
  <si>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</si>
  <si>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</si>
  <si>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</si>
  <si>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</si>
  <si>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</si>
  <si>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</si>
  <si>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</si>
  <si>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</si>
  <si>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</si>
  <si>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</si>
  <si>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</si>
  <si>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</si>
  <si>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</si>
  <si>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</si>
  <si>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</si>
  <si>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</si>
  <si>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</si>
  <si>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</si>
  <si>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</si>
  <si>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</si>
  <si>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</si>
  <si>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</si>
  <si>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</si>
  <si>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</si>
  <si>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</si>
  <si>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</si>
  <si>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</si>
  <si>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</si>
  <si>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</si>
  <si>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</si>
  <si>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</si>
  <si>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</si>
  <si>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</si>
  <si>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</si>
  <si>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</si>
  <si>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</si>
  <si>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</si>
  <si>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</si>
  <si>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</si>
  <si>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</si>
  <si>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</si>
  <si>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</si>
  <si>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</si>
  <si>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</si>
  <si>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</si>
  <si>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</si>
  <si>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</si>
  <si>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</si>
  <si>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</si>
  <si>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</si>
  <si>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</si>
  <si>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</si>
  <si>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</si>
  <si>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</si>
  <si>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</si>
  <si>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</si>
  <si>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</si>
  <si>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</si>
  <si>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</si>
  <si>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</si>
  <si>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</si>
  <si>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</si>
  <si>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</si>
  <si>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</si>
  <si>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</si>
  <si>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</si>
  <si>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</si>
  <si>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</si>
  <si>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</si>
  <si>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</si>
  <si>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</si>
  <si>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</si>
  <si>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</si>
  <si>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</si>
  <si>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</si>
  <si>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</si>
  <si>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</si>
  <si>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</si>
  <si>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</si>
  <si>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</si>
  <si>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</si>
  <si>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</si>
  <si>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</si>
  <si>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</si>
  <si>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</si>
  <si>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</si>
  <si>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</si>
  <si>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</si>
  <si>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</si>
  <si>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</si>
  <si>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</si>
  <si>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</si>
  <si>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</si>
  <si>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</si>
  <si>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</si>
  <si>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</si>
  <si>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</si>
  <si>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</si>
  <si>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</si>
  <si>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</si>
  <si>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</si>
  <si>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</si>
  <si>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</si>
  <si>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</si>
  <si>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</si>
  <si>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</si>
  <si>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</si>
  <si>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</si>
  <si>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</si>
  <si>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</si>
  <si>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</si>
  <si>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</si>
  <si>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</si>
  <si>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</si>
  <si>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</si>
  <si>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</si>
  <si>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</si>
  <si>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</si>
  <si>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</si>
  <si>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</si>
  <si>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</si>
  <si>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</si>
  <si>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</si>
  <si>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</si>
  <si>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</si>
  <si>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</si>
  <si>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</si>
  <si>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</si>
  <si>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</si>
  <si>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</si>
  <si>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</si>
  <si>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</si>
  <si>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</si>
  <si>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</si>
  <si>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</si>
  <si>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</si>
  <si>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</si>
  <si>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</si>
  <si>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</si>
  <si>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</si>
  <si>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</si>
  <si>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</si>
  <si>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</si>
  <si>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</si>
  <si>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</si>
  <si>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</si>
  <si>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</si>
  <si>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</si>
  <si>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</si>
  <si>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</si>
  <si>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</si>
  <si>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</si>
  <si>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</si>
  <si>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</si>
  <si>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</si>
  <si>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</si>
  <si>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</si>
  <si>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</si>
  <si>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</si>
  <si>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</si>
  <si>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</si>
  <si>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</si>
  <si>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</si>
  <si>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</si>
  <si>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</si>
  <si>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</si>
  <si>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</si>
  <si>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</si>
  <si>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</si>
  <si>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</si>
  <si>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</si>
  <si>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</si>
  <si>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</si>
  <si>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</si>
  <si>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</si>
  <si>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</si>
  <si>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</si>
  <si>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</si>
  <si>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</si>
  <si>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</si>
  <si>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</si>
  <si>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</si>
  <si>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</si>
  <si>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</si>
  <si>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</si>
  <si>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</si>
  <si>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</si>
  <si>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</si>
  <si>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</si>
  <si>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</si>
  <si>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</si>
  <si>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</si>
  <si>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</si>
  <si>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</si>
  <si>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</si>
  <si>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</si>
  <si>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</si>
  <si>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</si>
  <si>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</si>
  <si>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</si>
  <si>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</si>
  <si>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</si>
  <si>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</si>
  <si>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</si>
  <si>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</si>
  <si>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</si>
  <si>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</si>
  <si>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</si>
  <si>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</si>
  <si>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</si>
  <si>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</si>
  <si>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</si>
  <si>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</si>
  <si>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</si>
  <si>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</si>
  <si>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</si>
  <si>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</si>
  <si>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</si>
  <si>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</si>
  <si>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</si>
  <si>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</si>
  <si>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</si>
  <si>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</si>
  <si>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</si>
  <si>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</si>
  <si>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</si>
  <si>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</si>
  <si>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</si>
  <si>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</si>
  <si>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</si>
  <si>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</si>
  <si>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</si>
  <si>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</si>
  <si>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</si>
  <si>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</si>
  <si>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</si>
  <si>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</si>
  <si>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</si>
  <si>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</si>
  <si>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</si>
  <si>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</si>
  <si>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</si>
  <si>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</si>
  <si>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</si>
  <si>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</si>
  <si>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</si>
  <si>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</si>
  <si>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</si>
  <si>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</si>
  <si>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</si>
  <si>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</si>
  <si>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</si>
  <si>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</si>
  <si>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</si>
  <si>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</si>
  <si>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</si>
  <si>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</si>
  <si>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</si>
  <si>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</si>
  <si>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</si>
  <si>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</si>
  <si>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</si>
  <si>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</si>
  <si>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</si>
  <si>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</si>
  <si>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</si>
  <si>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</si>
  <si>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</si>
  <si>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</si>
  <si>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</si>
  <si>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</si>
  <si>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</si>
  <si>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</si>
  <si>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</si>
  <si>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</si>
  <si>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</si>
  <si>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</si>
  <si>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</si>
  <si>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</si>
  <si>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</si>
  <si>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</si>
  <si>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</si>
  <si>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</si>
  <si>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</si>
  <si>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</si>
  <si>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</si>
  <si>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</si>
  <si>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</si>
  <si>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</si>
  <si>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</si>
  <si>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</si>
  <si>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</si>
  <si>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</si>
  <si>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</si>
  <si>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</si>
  <si>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</si>
  <si>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</si>
  <si>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</si>
  <si>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</si>
  <si>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</si>
  <si>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</si>
  <si>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</si>
  <si>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</si>
  <si>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</si>
  <si>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</si>
  <si>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</si>
  <si>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</si>
  <si>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</si>
  <si>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</si>
  <si>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</si>
  <si>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</si>
  <si>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</si>
  <si>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</si>
  <si>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</si>
  <si>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</si>
  <si>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</si>
  <si>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</si>
  <si>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</si>
  <si>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</si>
  <si>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</si>
  <si>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</si>
  <si>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</si>
  <si>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</si>
  <si>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</si>
  <si>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</si>
  <si>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</si>
  <si>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</si>
  <si>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</si>
  <si>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</si>
  <si>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</si>
  <si>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</si>
  <si>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</si>
  <si>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</si>
  <si>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</si>
  <si>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</si>
  <si>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</si>
  <si>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</si>
  <si>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</si>
  <si>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</si>
  <si>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</si>
  <si>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</si>
  <si>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</si>
  <si>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</si>
  <si>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</si>
  <si>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</si>
  <si>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</si>
  <si>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</si>
  <si>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</si>
  <si>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</si>
  <si>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</si>
  <si>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</si>
  <si>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</si>
  <si>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</si>
  <si>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</si>
  <si>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</si>
  <si>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</si>
  <si>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</si>
  <si>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</si>
  <si>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</si>
  <si>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</si>
  <si>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</si>
  <si>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</si>
  <si>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</si>
  <si>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</si>
  <si>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</si>
  <si>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</si>
  <si>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</si>
  <si>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</si>
  <si>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</si>
  <si>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</si>
  <si>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</si>
  <si>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</si>
  <si>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</si>
  <si>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</si>
  <si>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</si>
  <si>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</si>
  <si>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</si>
  <si>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</si>
  <si>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</si>
  <si>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</si>
  <si>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</si>
  <si>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</si>
  <si>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</si>
  <si>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</si>
  <si>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</si>
  <si>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</si>
  <si>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</si>
  <si>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</si>
  <si>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</si>
  <si>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</si>
  <si>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</si>
  <si>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</si>
  <si>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</si>
  <si>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</si>
  <si>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</si>
  <si>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</si>
  <si>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</si>
  <si>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</si>
  <si>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</si>
  <si>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</si>
  <si>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</si>
  <si>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</si>
  <si>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</si>
  <si>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</si>
  <si>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</si>
  <si>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</si>
  <si>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</si>
  <si>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</si>
  <si>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</si>
  <si>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</si>
  <si>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</si>
  <si>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</si>
  <si>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</si>
  <si>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</si>
  <si>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</si>
  <si>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</si>
  <si>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</si>
  <si>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</si>
  <si>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</si>
  <si>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</si>
  <si>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</si>
  <si>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</si>
  <si>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</si>
  <si>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</si>
  <si>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</si>
  <si>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</si>
  <si>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</si>
  <si>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</si>
  <si>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</si>
  <si>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</si>
  <si>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</si>
  <si>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</si>
  <si>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</si>
  <si>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</si>
  <si>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</si>
  <si>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</si>
  <si>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</si>
  <si>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</si>
  <si>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</si>
  <si>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</si>
  <si>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</si>
  <si>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</si>
  <si>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</si>
  <si>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</si>
  <si>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</si>
  <si>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</si>
  <si>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</si>
  <si>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</si>
  <si>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</si>
  <si>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</si>
  <si>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</si>
  <si>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</si>
  <si>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</si>
  <si>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</si>
  <si>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</si>
  <si>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</si>
  <si>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</si>
  <si>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</si>
  <si>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</si>
  <si>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</si>
  <si>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</si>
  <si>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</si>
  <si>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</si>
  <si>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</si>
  <si>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</si>
  <si>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</si>
  <si>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</si>
  <si>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</si>
  <si>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</si>
  <si>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</si>
  <si>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</si>
  <si>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</si>
  <si>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</si>
  <si>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</si>
  <si>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</si>
  <si>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</si>
  <si>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</si>
  <si>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</si>
  <si>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</si>
  <si>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</si>
  <si>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</si>
  <si>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</si>
  <si>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</si>
  <si>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</si>
  <si>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</si>
  <si>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</si>
  <si>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</si>
  <si>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</si>
  <si>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</si>
  <si>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</si>
  <si>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</si>
  <si>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</si>
  <si>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</si>
  <si>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</si>
  <si>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</si>
  <si>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</si>
  <si>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</si>
  <si>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</si>
  <si>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</si>
  <si>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</si>
  <si>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</si>
  <si>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</si>
  <si>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</si>
  <si>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</si>
  <si>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</si>
  <si>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</si>
  <si>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</si>
  <si>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</si>
  <si>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</si>
  <si>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</si>
  <si>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</si>
  <si>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</si>
  <si>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</si>
  <si>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</si>
  <si>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</si>
  <si>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</si>
  <si>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</si>
  <si>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</si>
  <si>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</si>
  <si>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</si>
  <si>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</si>
  <si>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</si>
  <si>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</si>
  <si>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</si>
  <si>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</si>
  <si>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</si>
  <si>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</si>
  <si>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</si>
  <si>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</si>
  <si>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</si>
  <si>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</si>
  <si>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</si>
  <si>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</si>
  <si>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</si>
  <si>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</si>
  <si>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</si>
  <si>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</si>
  <si>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</si>
  <si>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</si>
  <si>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</si>
  <si>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</si>
  <si>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</si>
  <si>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</si>
  <si>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</si>
  <si>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</si>
  <si>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</si>
  <si>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</si>
  <si>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</si>
  <si>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</si>
  <si>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</si>
  <si>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</si>
  <si>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</si>
  <si>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</si>
  <si>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</si>
  <si>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</si>
  <si>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</si>
  <si>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</si>
  <si>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</si>
  <si>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</si>
  <si>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</si>
  <si>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</si>
  <si>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</si>
  <si>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</si>
  <si>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</si>
  <si>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</si>
  <si>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</si>
  <si>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</si>
  <si>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</si>
  <si>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</si>
  <si>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</si>
  <si>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</si>
  <si>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</si>
  <si>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</si>
  <si>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</si>
  <si>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</si>
  <si>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</si>
  <si>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</si>
  <si>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</si>
  <si>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</si>
  <si>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</si>
  <si>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</si>
  <si>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</si>
  <si>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</si>
  <si>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</si>
  <si>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</si>
  <si>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</si>
  <si>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</si>
  <si>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</si>
  <si>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</si>
  <si>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</si>
  <si>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</si>
  <si>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</si>
  <si>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</si>
  <si>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</si>
  <si>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</si>
  <si>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</si>
  <si>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</si>
  <si>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</si>
  <si>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</si>
  <si>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</si>
  <si>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</si>
  <si>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</si>
  <si>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</si>
  <si>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</si>
  <si>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</si>
  <si>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</si>
  <si>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</si>
  <si>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</si>
  <si>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</si>
  <si>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</si>
  <si>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</si>
  <si>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</si>
  <si>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</si>
  <si>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</si>
  <si>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</si>
  <si>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</si>
  <si>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</si>
  <si>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</si>
  <si>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</si>
  <si>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</si>
  <si>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</si>
  <si>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</si>
  <si>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</si>
  <si>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</si>
  <si>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</si>
  <si>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</si>
  <si>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</si>
  <si>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</si>
  <si>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</si>
  <si>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</si>
  <si>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</si>
  <si>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</si>
  <si>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</si>
  <si>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</si>
  <si>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</si>
  <si>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</si>
  <si>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</si>
  <si>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</si>
  <si>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</si>
  <si>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</si>
  <si>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</si>
  <si>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</si>
  <si>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</si>
  <si>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</si>
  <si>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</si>
  <si>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</si>
  <si>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</si>
  <si>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</si>
  <si>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</si>
  <si>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</si>
  <si>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</si>
  <si>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</si>
  <si>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</si>
  <si>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</si>
  <si>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</si>
  <si>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</si>
  <si>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</si>
  <si>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</si>
  <si>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</si>
  <si>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</si>
  <si>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</si>
  <si>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</si>
  <si>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</si>
  <si>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</si>
  <si>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</si>
  <si>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</si>
  <si>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</si>
  <si>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</si>
  <si>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</si>
  <si>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</si>
  <si>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</si>
  <si>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</si>
  <si>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</si>
  <si>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</si>
  <si>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</si>
  <si>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</si>
  <si>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</si>
  <si>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</si>
  <si>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</si>
  <si>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</si>
  <si>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</si>
  <si>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</si>
  <si>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</si>
  <si>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</si>
  <si>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</si>
  <si>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</si>
  <si>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</si>
  <si>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</si>
  <si>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</si>
  <si>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</si>
  <si>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</si>
  <si>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</si>
  <si>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</si>
  <si>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</si>
  <si>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</si>
  <si>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</si>
  <si>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</si>
  <si>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</si>
  <si>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</si>
  <si>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</si>
  <si>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</si>
  <si>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</si>
  <si>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</si>
  <si>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</si>
  <si>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</si>
  <si>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</si>
  <si>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</si>
  <si>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</si>
  <si>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</si>
  <si>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</si>
  <si>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</si>
  <si>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</si>
  <si>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</si>
  <si>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</si>
  <si>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</si>
  <si>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</si>
  <si>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</si>
  <si>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</si>
  <si>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</si>
  <si>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</si>
  <si>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</si>
  <si>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</si>
  <si>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</si>
  <si>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</si>
  <si>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</si>
  <si>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</si>
  <si>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</si>
  <si>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</si>
  <si>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</si>
  <si>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</si>
  <si>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</si>
  <si>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</si>
  <si>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</si>
  <si>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</si>
  <si>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</si>
  <si>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</si>
  <si>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</si>
  <si>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</si>
  <si>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</si>
  <si>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</si>
  <si>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</si>
  <si>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</si>
  <si>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</si>
  <si>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</si>
  <si>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</si>
  <si>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</si>
  <si>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</si>
  <si>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</si>
  <si>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</si>
  <si>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</si>
  <si>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</si>
  <si>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</si>
  <si>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</si>
  <si>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</si>
  <si>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</si>
  <si>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</si>
  <si>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</si>
  <si>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</si>
  <si>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</si>
  <si>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</si>
  <si>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</si>
  <si>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</si>
  <si>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</si>
  <si>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</si>
  <si>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</si>
  <si>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</si>
  <si>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</si>
  <si>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</si>
  <si>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</si>
  <si>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</si>
  <si>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</si>
  <si>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</si>
  <si>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</si>
  <si>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</si>
  <si>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</si>
  <si>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</si>
  <si>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</si>
  <si>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</si>
  <si>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</si>
  <si>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</si>
  <si>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</si>
  <si>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</si>
  <si>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</si>
  <si>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</si>
  <si>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</si>
  <si>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</si>
  <si>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</si>
  <si>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</si>
  <si>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</si>
  <si>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</si>
  <si>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</si>
  <si>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</si>
  <si>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</si>
  <si>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</si>
  <si>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</si>
  <si>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</si>
  <si>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</si>
  <si>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</si>
  <si>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</si>
  <si>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</si>
  <si>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</si>
  <si>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</si>
  <si>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</si>
  <si>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</si>
  <si>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</si>
  <si>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</si>
  <si>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</si>
  <si>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</si>
  <si>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</si>
  <si>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</si>
  <si>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</si>
  <si>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</si>
  <si>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</si>
  <si>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</si>
  <si>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</si>
  <si>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</si>
  <si>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</si>
  <si>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</si>
  <si>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</si>
  <si>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</si>
  <si>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</si>
  <si>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</si>
  <si>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</si>
  <si>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</si>
  <si>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</si>
  <si>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</si>
  <si>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</si>
  <si>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</si>
  <si>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</si>
  <si>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</si>
  <si>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</si>
  <si>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</si>
  <si>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</si>
  <si>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</si>
  <si>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</si>
  <si>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</si>
  <si>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</si>
  <si>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</si>
  <si>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</si>
  <si>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</si>
  <si>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</si>
  <si>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</si>
  <si>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</si>
  <si>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</si>
  <si>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</si>
  <si>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</si>
  <si>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</si>
  <si>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</si>
  <si>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</si>
  <si>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</si>
  <si>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</si>
  <si>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</si>
  <si>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</si>
  <si>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</si>
  <si>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</si>
  <si>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</si>
  <si>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</si>
  <si>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</si>
  <si>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</si>
  <si>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</si>
  <si>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</si>
  <si>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</si>
  <si>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</si>
  <si>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</si>
  <si>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</si>
  <si>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</si>
  <si>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</si>
  <si>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</si>
  <si>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</si>
  <si>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</si>
  <si>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</si>
  <si>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</si>
  <si>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</si>
  <si>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</si>
  <si>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</si>
  <si>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</si>
  <si>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</si>
  <si>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</si>
  <si>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</si>
  <si>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</si>
  <si>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</si>
  <si>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</si>
  <si>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</si>
  <si>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</si>
  <si>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</si>
  <si>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</si>
  <si>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</si>
  <si>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</si>
  <si>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</si>
  <si>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</si>
  <si>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</si>
  <si>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</si>
  <si>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</si>
  <si>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</si>
  <si>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</si>
  <si>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</si>
  <si>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</si>
  <si>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</si>
  <si>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</si>
  <si>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</si>
  <si>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</si>
  <si>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</si>
  <si>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</si>
  <si>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</si>
  <si>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</si>
  <si>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</si>
  <si>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</si>
  <si>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</si>
  <si>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</si>
  <si>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</si>
  <si>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</si>
  <si>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</si>
  <si>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</si>
  <si>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</si>
  <si>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</si>
  <si>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</si>
  <si>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</si>
  <si>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</si>
  <si>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</si>
  <si>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</si>
  <si>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</si>
  <si>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</si>
  <si>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</si>
  <si>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</si>
  <si>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</si>
  <si>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</si>
  <si>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</si>
  <si>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</si>
  <si>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</si>
  <si>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</si>
  <si>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</si>
  <si>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</si>
  <si>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</si>
  <si>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</si>
  <si>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</si>
  <si>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</si>
  <si>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</si>
  <si>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</si>
  <si>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</si>
  <si>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</si>
  <si>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</si>
  <si>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</si>
  <si>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</si>
  <si>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</si>
  <si>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</si>
  <si>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</si>
  <si>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</si>
  <si>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</si>
  <si>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</si>
  <si>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</si>
  <si>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</si>
  <si>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</si>
  <si>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</si>
  <si>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</si>
  <si>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</si>
  <si>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</si>
  <si>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</si>
  <si>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</si>
  <si>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</si>
  <si>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</si>
  <si>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</si>
  <si>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</si>
  <si>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</si>
  <si>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</si>
  <si>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</si>
  <si>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</si>
  <si>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</si>
  <si>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</si>
  <si>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</si>
  <si>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</si>
  <si>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</si>
  <si>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</si>
  <si>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</si>
  <si>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</si>
  <si>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</si>
  <si>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</si>
  <si>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</si>
  <si>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</si>
  <si>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</si>
  <si>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</si>
  <si>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</si>
  <si>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</si>
  <si>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</si>
  <si>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</si>
  <si>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</si>
  <si>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</si>
  <si>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</si>
  <si>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</si>
  <si>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</si>
  <si>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</si>
  <si>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</si>
  <si>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</si>
  <si>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</si>
  <si>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</si>
  <si>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</si>
  <si>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</si>
  <si>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</si>
  <si>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</si>
  <si>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</si>
  <si>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</si>
  <si>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</si>
  <si>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</si>
  <si>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</si>
  <si>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</si>
  <si>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</si>
  <si>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</si>
  <si>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</si>
  <si>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</si>
  <si>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</si>
  <si>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</si>
  <si>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</si>
  <si>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</si>
  <si>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</si>
  <si>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</si>
  <si>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</si>
  <si>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</si>
  <si>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</si>
  <si>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</si>
  <si>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</si>
  <si>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</si>
  <si>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</si>
  <si>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</si>
  <si>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</si>
  <si>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</si>
  <si>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</si>
  <si>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</si>
  <si>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</si>
  <si>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</si>
  <si>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</si>
  <si>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</si>
  <si>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</si>
  <si>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</si>
  <si>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</si>
  <si>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</si>
  <si>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</si>
  <si>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</si>
  <si>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</si>
  <si>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</si>
  <si>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</si>
  <si>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</si>
  <si>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</si>
  <si>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</si>
  <si>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</si>
  <si>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</si>
  <si>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</si>
  <si>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</si>
  <si>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</si>
  <si>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</si>
  <si>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</si>
  <si>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</si>
  <si>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</si>
  <si>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</si>
  <si>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</si>
  <si>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</si>
  <si>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</si>
  <si>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</si>
  <si>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</si>
  <si>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</si>
  <si>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</si>
  <si>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</si>
  <si>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</si>
  <si>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</si>
  <si>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</si>
  <si>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</si>
  <si>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</si>
  <si>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</si>
  <si>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</si>
  <si>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</si>
  <si>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</si>
  <si>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</si>
  <si>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</si>
  <si>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</si>
  <si>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</si>
  <si>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</si>
  <si>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</si>
  <si>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</si>
  <si>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</si>
  <si>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</si>
  <si>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</si>
  <si>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</si>
  <si>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</si>
  <si>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</si>
  <si>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</si>
  <si>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</si>
  <si>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</si>
  <si>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</si>
  <si>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</si>
  <si>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</si>
  <si>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</si>
  <si>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</si>
  <si>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</si>
  <si>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</si>
  <si>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</si>
  <si>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</si>
  <si>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</si>
  <si>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</si>
  <si>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</si>
  <si>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</si>
  <si>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</si>
  <si>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</si>
  <si>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</si>
  <si>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</si>
  <si>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</si>
  <si>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</si>
  <si>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</si>
  <si>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</si>
  <si>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</si>
  <si>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</si>
  <si>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</si>
  <si>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</si>
  <si>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</si>
  <si>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</si>
  <si>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</si>
  <si>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</si>
  <si>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</si>
  <si>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</si>
  <si>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</si>
  <si>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</si>
  <si>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</si>
  <si>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</si>
  <si>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</si>
  <si>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</si>
  <si>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</si>
  <si>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</si>
  <si>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</si>
  <si>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</si>
  <si>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</si>
  <si>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</si>
  <si>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</si>
  <si>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</si>
  <si>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</si>
  <si>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</si>
  <si>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</si>
  <si>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</si>
  <si>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</si>
  <si>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</si>
  <si>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</si>
  <si>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</si>
  <si>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</si>
  <si>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</si>
  <si>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</si>
  <si>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</si>
  <si>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</si>
  <si>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</si>
  <si>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</si>
  <si>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</si>
  <si>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</si>
  <si>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</si>
  <si>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</si>
  <si>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</si>
  <si>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</si>
  <si>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</si>
  <si>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</si>
  <si>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</si>
  <si>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</si>
  <si>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</si>
  <si>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</si>
  <si>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</si>
  <si>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</si>
  <si>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</si>
  <si>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</si>
  <si>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</si>
  <si>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</si>
  <si>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</si>
  <si>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</si>
  <si>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</si>
  <si>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</si>
  <si>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</si>
  <si>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</si>
  <si>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</si>
  <si>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</si>
  <si>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</si>
  <si>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</si>
  <si>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</si>
  <si>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</si>
  <si>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</si>
  <si>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</si>
  <si>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</si>
  <si>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</si>
  <si>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</si>
  <si>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</si>
  <si>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</si>
  <si>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</si>
  <si>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</si>
  <si>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</si>
  <si>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</si>
  <si>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</si>
  <si>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</si>
  <si>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</si>
  <si>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</si>
  <si>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</si>
  <si>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</si>
  <si>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</si>
  <si>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</si>
  <si>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</si>
  <si>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</si>
  <si>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</si>
  <si>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</si>
  <si>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</si>
  <si>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</si>
  <si>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</si>
  <si>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</si>
  <si>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</si>
  <si>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</si>
  <si>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</si>
  <si>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</si>
  <si>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</si>
  <si>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</si>
  <si>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</si>
  <si>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</si>
  <si>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</si>
  <si>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</si>
  <si>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</si>
  <si>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</si>
  <si>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</si>
  <si>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</si>
  <si>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</si>
  <si>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</si>
  <si>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</si>
  <si>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</si>
  <si>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</si>
  <si>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</si>
  <si>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</si>
  <si>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</si>
  <si>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</si>
  <si>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</si>
  <si>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</si>
  <si>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</si>
  <si>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</si>
  <si>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</si>
  <si>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</si>
  <si>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</si>
  <si>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</si>
  <si>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</si>
  <si>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</si>
  <si>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</si>
  <si>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</si>
  <si>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</si>
  <si>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</si>
  <si>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</si>
  <si>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</si>
  <si>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</si>
  <si>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</si>
  <si>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</si>
  <si>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</si>
  <si>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</si>
  <si>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</si>
  <si>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</si>
  <si>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</si>
  <si>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</si>
  <si>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</si>
  <si>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</si>
  <si>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</si>
  <si>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</si>
  <si>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</si>
  <si>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</si>
  <si>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</si>
  <si>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</si>
  <si>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</si>
  <si>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</si>
  <si>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</si>
  <si>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</si>
  <si>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</si>
  <si>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</si>
  <si>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</si>
  <si>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</si>
  <si>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</si>
  <si>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</si>
  <si>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</si>
  <si>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</si>
  <si>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</si>
  <si>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</si>
  <si>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</si>
  <si>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</si>
  <si>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</si>
  <si>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</si>
  <si>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</si>
  <si>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</si>
  <si>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</si>
  <si>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</si>
  <si>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</si>
  <si>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</si>
  <si>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</si>
  <si>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</si>
  <si>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</si>
  <si>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</si>
  <si>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</si>
  <si>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</si>
  <si>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</si>
  <si>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</si>
  <si>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</si>
  <si>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</si>
  <si>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</si>
  <si>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</si>
  <si>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</si>
  <si>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</si>
  <si>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</si>
  <si>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</si>
  <si>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</si>
  <si>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</si>
  <si>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</si>
  <si>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</si>
  <si>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</si>
  <si>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</si>
  <si>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</si>
  <si>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</si>
  <si>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</si>
  <si>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</si>
  <si>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</si>
  <si>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</si>
  <si>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</si>
  <si>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</si>
  <si>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</si>
  <si>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</si>
  <si>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</si>
  <si>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</si>
  <si>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</si>
  <si>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</si>
  <si>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</si>
  <si>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</si>
  <si>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</si>
  <si>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</si>
  <si>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</si>
  <si>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</si>
  <si>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</si>
  <si>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</si>
  <si>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</si>
  <si>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</si>
  <si>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</si>
  <si>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</si>
  <si>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</si>
  <si>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</si>
  <si>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</si>
  <si>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</si>
  <si>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</si>
  <si>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</si>
  <si>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</si>
  <si>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</si>
  <si>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</si>
  <si>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</si>
  <si>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</si>
  <si>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</si>
  <si>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</si>
  <si>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</si>
  <si>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</si>
  <si>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</si>
  <si>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</si>
  <si>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</si>
  <si>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</si>
  <si>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</si>
  <si>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</si>
  <si>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</si>
  <si>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</si>
  <si>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</si>
  <si>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</si>
  <si>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</si>
  <si>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</si>
  <si>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</si>
  <si>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</si>
  <si>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</si>
  <si>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</si>
  <si>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</si>
  <si>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</si>
  <si>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</si>
  <si>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</si>
  <si>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</si>
  <si>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</si>
  <si>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</si>
  <si>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</si>
  <si>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</si>
  <si>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</si>
  <si>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</si>
  <si>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</si>
  <si>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</si>
  <si>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</si>
  <si>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</si>
  <si>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</si>
  <si>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</si>
  <si>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</si>
  <si>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</si>
  <si>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</si>
  <si>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</si>
  <si>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</si>
  <si>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</si>
  <si>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</si>
  <si>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</si>
  <si>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</si>
  <si>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</si>
  <si>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</si>
  <si>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</si>
  <si>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</si>
  <si>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</si>
  <si>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</si>
  <si>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</si>
  <si>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</si>
  <si>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</si>
  <si>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</si>
  <si>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</si>
  <si>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</si>
  <si>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</si>
  <si>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</si>
  <si>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</si>
  <si>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</si>
  <si>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</si>
  <si>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</si>
  <si>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</si>
  <si>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</si>
  <si>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</si>
  <si>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</si>
  <si>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</si>
  <si>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</si>
  <si>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</si>
  <si>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</si>
  <si>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</si>
  <si>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</si>
  <si>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</si>
  <si>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</si>
  <si>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</si>
  <si>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</si>
  <si>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</si>
  <si>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</si>
  <si>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</si>
  <si>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</si>
  <si>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</si>
  <si>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</si>
  <si>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</si>
  <si>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</si>
  <si>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</si>
  <si>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</si>
  <si>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</si>
  <si>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</si>
  <si>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</si>
  <si>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</si>
  <si>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</si>
  <si>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</si>
  <si>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</si>
  <si>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</si>
  <si>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</si>
  <si>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</si>
  <si>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</si>
  <si>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</si>
  <si>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</si>
  <si>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</si>
  <si>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</si>
  <si>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</si>
  <si>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</si>
  <si>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</si>
  <si>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</si>
  <si>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</si>
  <si>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</si>
  <si>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</si>
  <si>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</si>
  <si>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</si>
  <si>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</si>
  <si>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</si>
  <si>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</si>
  <si>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</si>
  <si>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</si>
  <si>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</si>
  <si>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</si>
  <si>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</si>
  <si>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</si>
  <si>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</si>
  <si>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</si>
  <si>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</si>
  <si>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</si>
  <si>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</si>
  <si>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</si>
  <si>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</si>
  <si>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</si>
  <si>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</si>
  <si>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</si>
  <si>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</si>
  <si>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</si>
  <si>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</si>
  <si>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</si>
  <si>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</si>
  <si>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</si>
  <si>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</si>
  <si>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</si>
  <si>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</si>
  <si>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</si>
  <si>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</si>
  <si>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</si>
  <si>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</si>
  <si>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</si>
  <si>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</si>
  <si>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</si>
  <si>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</si>
  <si>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</si>
  <si>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</si>
  <si>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</si>
  <si>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</si>
  <si>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</si>
  <si>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</si>
  <si>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</si>
  <si>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</si>
  <si>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</si>
  <si>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</si>
  <si>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</si>
  <si>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</si>
  <si>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</si>
  <si>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</si>
  <si>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</si>
  <si>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</si>
  <si>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</si>
  <si>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</si>
  <si>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</si>
  <si>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</si>
  <si>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</si>
  <si>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</si>
  <si>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</si>
  <si>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</si>
  <si>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</si>
  <si>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</si>
  <si>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</si>
  <si>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</si>
  <si>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</si>
  <si>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</si>
  <si>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</si>
  <si>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</si>
  <si>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</si>
  <si>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</si>
  <si>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</si>
  <si>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</si>
  <si>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</si>
  <si>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</si>
  <si>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</si>
  <si>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</si>
  <si>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</si>
  <si>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</si>
  <si>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</si>
  <si>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</si>
  <si>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</si>
  <si>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</si>
  <si>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</si>
  <si>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</si>
  <si>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</si>
  <si>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</si>
  <si>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</si>
  <si>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</si>
  <si>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</si>
  <si>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</si>
  <si>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</si>
  <si>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</si>
  <si>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</si>
  <si>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</si>
  <si>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</si>
  <si>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</si>
  <si>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</si>
  <si>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</si>
  <si>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</si>
  <si>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</si>
  <si>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</si>
  <si>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</si>
  <si>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</si>
  <si>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</si>
  <si>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</si>
  <si>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</si>
  <si>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</si>
  <si>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</si>
  <si>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</si>
  <si>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</si>
  <si>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</si>
  <si>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</si>
  <si>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</si>
  <si>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</si>
  <si>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</si>
  <si>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</si>
  <si>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</si>
  <si>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</si>
  <si>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</si>
  <si>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</si>
  <si>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</si>
  <si>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</si>
  <si>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</si>
  <si>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</si>
  <si>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</si>
  <si>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</si>
  <si>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</si>
  <si>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</si>
  <si>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</si>
  <si>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</si>
  <si>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</si>
  <si>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</si>
  <si>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</si>
  <si>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</si>
  <si>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</si>
  <si>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</si>
  <si>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</si>
  <si>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</si>
  <si>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</si>
  <si>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</si>
  <si>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</si>
  <si>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</si>
  <si>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</si>
  <si>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</si>
  <si>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</si>
  <si>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</si>
  <si>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</si>
  <si>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</si>
  <si>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</si>
  <si>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</si>
  <si>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</si>
  <si>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</si>
  <si>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</si>
  <si>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</si>
  <si>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</si>
  <si>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</si>
  <si>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</si>
  <si>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</si>
  <si>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</si>
  <si>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</si>
  <si>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</si>
  <si>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</si>
  <si>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</si>
  <si>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</si>
  <si>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</si>
  <si>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</si>
  <si>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</si>
  <si>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</si>
  <si>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</si>
  <si>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</si>
  <si>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</si>
  <si>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</si>
  <si>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</si>
  <si>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</si>
  <si>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</si>
  <si>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</si>
  <si>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</si>
  <si>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</si>
  <si>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</si>
  <si>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</si>
  <si>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</si>
  <si>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</si>
  <si>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</si>
  <si>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</si>
  <si>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</si>
  <si>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</si>
  <si>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</si>
  <si>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</si>
  <si>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</si>
  <si>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</si>
  <si>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</si>
  <si>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</si>
  <si>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</si>
  <si>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</si>
  <si>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</si>
  <si>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</si>
  <si>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</si>
  <si>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</si>
  <si>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</si>
  <si>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</si>
  <si>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</si>
  <si>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</si>
  <si>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</si>
  <si>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</si>
  <si>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</si>
  <si>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</si>
  <si>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</si>
  <si>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</si>
  <si>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</si>
  <si>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</si>
  <si>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</si>
  <si>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</si>
  <si>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</si>
  <si>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</si>
  <si>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</si>
  <si>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</si>
  <si>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</si>
  <si>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</si>
  <si>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</si>
  <si>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</si>
  <si>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</si>
  <si>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</si>
  <si>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</si>
  <si>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</si>
  <si>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</si>
  <si>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</si>
  <si>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</si>
  <si>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</si>
  <si>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</si>
  <si>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</si>
  <si>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</si>
  <si>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</si>
  <si>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</si>
  <si>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</si>
  <si>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</si>
  <si>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</si>
  <si>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</si>
  <si>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</si>
  <si>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</si>
  <si>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</si>
  <si>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</si>
  <si>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</si>
  <si>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</si>
  <si>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</si>
  <si>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</si>
  <si>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</si>
  <si>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</si>
  <si>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</si>
  <si>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</si>
  <si>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</si>
  <si>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</si>
  <si>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</si>
  <si>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</si>
  <si>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</si>
  <si>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</si>
  <si>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</si>
  <si>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</si>
  <si>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</si>
  <si>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</si>
  <si>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</si>
  <si>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</si>
  <si>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</si>
  <si>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</si>
  <si>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</si>
  <si>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</si>
  <si>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</si>
  <si>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</si>
  <si>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</si>
  <si>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</si>
  <si>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</si>
  <si>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</si>
  <si>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</si>
  <si>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</si>
  <si>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</si>
  <si>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</si>
  <si>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</si>
  <si>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</si>
  <si>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</si>
  <si>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</si>
  <si>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</si>
  <si>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</si>
  <si>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</si>
  <si>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</si>
  <si>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</si>
  <si>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</si>
  <si>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</si>
  <si>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</si>
  <si>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</si>
  <si>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</si>
  <si>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</si>
  <si>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</si>
  <si>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</si>
  <si>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</si>
  <si>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</si>
  <si>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</si>
  <si>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</si>
  <si>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</si>
  <si>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</si>
  <si>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</si>
  <si>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</si>
  <si>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</si>
  <si>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</si>
  <si>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</si>
  <si>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</si>
  <si>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</si>
  <si>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</si>
  <si>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</si>
  <si>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</si>
  <si>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</si>
  <si>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</si>
  <si>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</si>
  <si>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</si>
  <si>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</si>
  <si>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</si>
  <si>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</si>
  <si>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</si>
  <si>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</si>
  <si>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</si>
  <si>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</si>
  <si>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</si>
  <si>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</si>
  <si>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</si>
  <si>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</si>
  <si>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</si>
  <si>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</si>
  <si>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</si>
  <si>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</si>
  <si>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</si>
  <si>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</si>
  <si>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</si>
  <si>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</si>
  <si>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</si>
  <si>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</si>
  <si>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</si>
  <si>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</si>
  <si>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</si>
  <si>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</si>
  <si>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</si>
  <si>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</si>
  <si>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</si>
  <si>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</si>
  <si>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</si>
  <si>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</si>
  <si>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</si>
  <si>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</si>
  <si>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</si>
  <si>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</si>
  <si>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</si>
  <si>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</si>
  <si>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</si>
  <si>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</si>
  <si>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</si>
  <si>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</si>
  <si>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</si>
  <si>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</si>
  <si>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</si>
  <si>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</si>
  <si>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</si>
  <si>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</si>
  <si>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</si>
  <si>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</si>
  <si>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</si>
  <si>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</si>
  <si>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</si>
  <si>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</si>
  <si>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</si>
  <si>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</si>
  <si>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</si>
  <si>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</si>
  <si>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</si>
  <si>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</si>
  <si>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</si>
  <si>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</si>
  <si>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</si>
  <si>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</si>
  <si>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</si>
  <si>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</si>
  <si>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</si>
  <si>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</si>
  <si>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</si>
  <si>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</si>
  <si>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</si>
  <si>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</si>
  <si>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</si>
  <si>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</si>
  <si>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</si>
  <si>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</si>
  <si>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</si>
  <si>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</si>
  <si>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</si>
  <si>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</si>
  <si>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</si>
  <si>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</si>
  <si>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</si>
  <si>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</si>
  <si>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</si>
  <si>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</si>
  <si>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</si>
  <si>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</si>
  <si>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</si>
  <si>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</si>
  <si>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</si>
  <si>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</si>
  <si>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</si>
  <si>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</si>
  <si>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</si>
  <si>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</si>
  <si>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</si>
  <si>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</si>
  <si>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</si>
  <si>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</si>
  <si>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</si>
  <si>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</si>
  <si>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</si>
  <si>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</si>
  <si>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</si>
  <si>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</si>
  <si>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</si>
  <si>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</si>
  <si>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</si>
  <si>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</si>
  <si>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</si>
  <si>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</si>
  <si>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</si>
  <si>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</si>
  <si>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</si>
  <si>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</si>
  <si>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</si>
  <si>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</si>
  <si>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</si>
  <si>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</si>
  <si>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</si>
  <si>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</si>
  <si>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</si>
  <si>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</si>
  <si>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</si>
  <si>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</si>
  <si>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</si>
  <si>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</si>
  <si>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</si>
  <si>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</si>
  <si>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</si>
  <si>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</si>
  <si>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</si>
  <si>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</si>
  <si>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</si>
  <si>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</si>
  <si>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</si>
  <si>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</si>
  <si>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</si>
  <si>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</si>
  <si>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</si>
  <si>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</si>
  <si>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</si>
  <si>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</si>
  <si>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</si>
  <si>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</si>
  <si>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</si>
  <si>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</si>
  <si>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</si>
  <si>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</si>
  <si>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</si>
  <si>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</si>
  <si>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</si>
  <si>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</si>
  <si>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</si>
  <si>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</si>
  <si>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</si>
  <si>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</si>
  <si>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</si>
  <si>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</si>
  <si>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</si>
  <si>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</si>
  <si>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</si>
  <si>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</si>
  <si>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</si>
  <si>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</si>
  <si>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</si>
  <si>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</si>
  <si>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</si>
  <si>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</si>
  <si>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</si>
  <si>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</si>
  <si>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</si>
  <si>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</si>
  <si>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</si>
  <si>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</si>
  <si>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</si>
  <si>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</si>
  <si>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</si>
  <si>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</si>
  <si>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</si>
  <si>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</si>
  <si>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</si>
  <si>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</si>
  <si>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</si>
  <si>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</si>
  <si>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</si>
  <si>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</si>
  <si>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</si>
  <si>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</si>
  <si>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</si>
  <si>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</si>
  <si>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</si>
  <si>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</si>
  <si>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</si>
  <si>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</si>
  <si>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</si>
  <si>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</si>
  <si>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</si>
  <si>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</si>
  <si>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</si>
  <si>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</si>
  <si>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</si>
  <si>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</si>
  <si>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</si>
  <si>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</si>
  <si>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</si>
  <si>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</si>
  <si>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</si>
  <si>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</si>
  <si>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</si>
  <si>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</si>
  <si>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</si>
  <si>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</si>
  <si>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</si>
  <si>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</si>
  <si>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</si>
  <si>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</si>
  <si>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</si>
  <si>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</si>
  <si>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</si>
  <si>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</si>
  <si>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</si>
  <si>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</si>
  <si>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</si>
  <si>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</si>
  <si>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</si>
  <si>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</si>
  <si>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</si>
  <si>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</si>
  <si>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</si>
  <si>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</si>
  <si>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</si>
  <si>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</si>
  <si>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</si>
  <si>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</si>
  <si>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</si>
  <si>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</si>
  <si>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</si>
  <si>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</si>
  <si>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</si>
  <si>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</si>
  <si>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</si>
  <si>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</si>
  <si>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</si>
  <si>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</si>
  <si>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</si>
  <si>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</si>
  <si>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</si>
  <si>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</si>
  <si>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</si>
  <si>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</si>
  <si>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</si>
  <si>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</si>
  <si>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</si>
  <si>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</si>
  <si>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</si>
  <si>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</si>
  <si>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</si>
  <si>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</si>
  <si>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</si>
  <si>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</si>
  <si>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</si>
  <si>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</si>
  <si>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</si>
  <si>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</si>
  <si>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</si>
  <si>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</si>
  <si>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</si>
  <si>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</si>
  <si>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</si>
  <si>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</si>
  <si>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</si>
  <si>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</si>
  <si>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</si>
  <si>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</si>
  <si>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</si>
  <si>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</si>
  <si>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</si>
  <si>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</si>
  <si>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</si>
  <si>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</si>
  <si>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</si>
  <si>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</si>
  <si>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</si>
  <si>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</si>
  <si>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</si>
  <si>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</si>
  <si>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</si>
  <si>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</si>
  <si>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</si>
  <si>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</si>
  <si>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</si>
  <si>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</si>
  <si>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</si>
  <si>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</si>
  <si>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</si>
  <si>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</si>
  <si>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</si>
  <si>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</si>
  <si>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</si>
  <si>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</si>
  <si>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</si>
  <si>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</si>
  <si>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</si>
  <si>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</si>
  <si>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</si>
  <si>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</si>
  <si>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</si>
  <si>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</si>
  <si>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</si>
  <si>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</si>
  <si>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</si>
  <si>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</si>
  <si>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</si>
  <si>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</si>
  <si>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</si>
  <si>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</si>
  <si>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</si>
  <si>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</si>
  <si>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</si>
  <si>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</si>
  <si>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</si>
  <si>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</si>
  <si>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</si>
  <si>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</si>
  <si>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</si>
  <si>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</si>
  <si>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</si>
  <si>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</si>
  <si>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</si>
  <si>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</si>
  <si>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</si>
  <si>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</si>
  <si>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</si>
  <si>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</si>
  <si>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</si>
  <si>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</si>
  <si>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</si>
  <si>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</si>
  <si>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</si>
  <si>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</si>
  <si>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</si>
  <si>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</si>
  <si>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</si>
  <si>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</si>
  <si>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</si>
  <si>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</si>
  <si>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</si>
  <si>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</si>
  <si>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</si>
  <si>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</si>
  <si>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</si>
  <si>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</si>
  <si>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</si>
  <si>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</si>
  <si>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</si>
  <si>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</si>
  <si>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</si>
  <si>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</si>
  <si>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</si>
  <si>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</si>
  <si>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</si>
  <si>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</si>
  <si>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</si>
  <si>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</si>
  <si>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</si>
  <si>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</si>
  <si>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</si>
  <si>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</si>
  <si>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</si>
  <si>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</si>
  <si>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</si>
  <si>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</si>
  <si>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</si>
  <si>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</si>
  <si>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</si>
  <si>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</si>
  <si>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</si>
  <si>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</si>
  <si>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</si>
  <si>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</si>
  <si>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</si>
  <si>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</si>
  <si>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</si>
  <si>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</si>
  <si>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</si>
  <si>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</si>
  <si>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</si>
  <si>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</si>
  <si>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</si>
  <si>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</si>
  <si>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</si>
  <si>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</si>
  <si>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</si>
  <si>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</si>
  <si>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</si>
  <si>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</si>
  <si>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</si>
  <si>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</si>
  <si>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</si>
  <si>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</si>
  <si>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</si>
  <si>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</si>
  <si>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</si>
  <si>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</si>
  <si>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</si>
  <si>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</si>
  <si>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</si>
  <si>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</si>
  <si>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</si>
  <si>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</si>
  <si>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</si>
  <si>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</si>
  <si>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</si>
  <si>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</si>
  <si>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</si>
  <si>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</si>
  <si>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</si>
  <si>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</si>
  <si>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</si>
  <si>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</si>
  <si>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</si>
  <si>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</si>
  <si>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</si>
  <si>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</si>
  <si>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</si>
  <si>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</si>
  <si>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</si>
  <si>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</si>
  <si>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</si>
  <si>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</si>
  <si>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</si>
  <si>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</si>
  <si>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</si>
  <si>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</si>
  <si>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</si>
  <si>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</si>
  <si>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</si>
  <si>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</si>
  <si>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</si>
  <si>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</si>
  <si>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</si>
  <si>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</si>
  <si>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</si>
  <si>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</si>
  <si>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</si>
  <si>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</si>
  <si>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</si>
  <si>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</si>
  <si>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</si>
  <si>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</si>
  <si>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</si>
  <si>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</si>
  <si>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</si>
  <si>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</si>
  <si>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</si>
  <si>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</si>
  <si>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</si>
  <si>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</si>
  <si>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</si>
  <si>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</si>
  <si>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</si>
  <si>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</si>
  <si>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</si>
  <si>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</si>
  <si>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</si>
  <si>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</si>
  <si>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</si>
  <si>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</si>
  <si>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</si>
  <si>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</si>
  <si>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</si>
  <si>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</si>
  <si>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</si>
  <si>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</si>
  <si>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</si>
  <si>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</si>
  <si>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</si>
  <si>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</si>
  <si>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</si>
  <si>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</si>
  <si>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</si>
  <si>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</si>
  <si>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</si>
  <si>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</si>
  <si>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</si>
  <si>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</si>
  <si>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</si>
  <si>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</si>
  <si>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</si>
  <si>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</si>
  <si>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</si>
  <si>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</si>
  <si>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</si>
  <si>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</si>
  <si>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</si>
  <si>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</si>
  <si>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</si>
  <si>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</si>
  <si>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</si>
  <si>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</si>
  <si>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</si>
  <si>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</si>
  <si>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</si>
  <si>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</si>
  <si>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</si>
  <si>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</si>
  <si>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</si>
  <si>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</si>
  <si>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</si>
  <si>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</si>
  <si>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</si>
  <si>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</si>
  <si>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</si>
  <si>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</si>
  <si>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</si>
  <si>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</si>
  <si>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</si>
  <si>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</si>
  <si>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</si>
  <si>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</si>
  <si>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</si>
  <si>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</si>
  <si>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</si>
  <si>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</si>
  <si>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</si>
  <si>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</si>
  <si>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</si>
  <si>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</si>
  <si>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</si>
  <si>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</si>
  <si>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</si>
  <si>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</si>
  <si>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</si>
  <si>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</si>
  <si>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</si>
  <si>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</si>
  <si>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</si>
  <si>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</si>
  <si>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</si>
  <si>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</si>
  <si>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</si>
  <si>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</si>
  <si>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</si>
  <si>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</si>
  <si>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</si>
  <si>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</si>
  <si>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</si>
  <si>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</si>
  <si>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</si>
  <si>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</si>
  <si>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</si>
  <si>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</si>
  <si>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</si>
  <si>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</si>
  <si>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</si>
  <si>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</si>
  <si>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</si>
  <si>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</si>
  <si>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</si>
  <si>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</si>
  <si>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</si>
  <si>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</si>
  <si>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</si>
  <si>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</si>
  <si>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</si>
  <si>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</si>
  <si>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</si>
  <si>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</si>
  <si>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</si>
  <si>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</si>
  <si>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</si>
  <si>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</si>
  <si>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</si>
  <si>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</si>
  <si>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</si>
  <si>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</si>
  <si>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</si>
  <si>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</si>
  <si>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</si>
  <si>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</si>
  <si>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</si>
  <si>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</si>
  <si>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</si>
  <si>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</si>
  <si>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</si>
  <si>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</si>
  <si>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</si>
  <si>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</si>
  <si>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</si>
  <si>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</si>
  <si>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</si>
  <si>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</si>
  <si>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</si>
  <si>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</si>
  <si>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</si>
  <si>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</si>
  <si>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</si>
  <si>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</si>
  <si>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</si>
  <si>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</si>
  <si>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</si>
  <si>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</si>
  <si>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</si>
  <si>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</si>
  <si>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</si>
  <si>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</si>
  <si>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</si>
  <si>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</si>
  <si>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</si>
  <si>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</si>
  <si>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</si>
  <si>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</si>
  <si>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</si>
  <si>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</si>
  <si>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</si>
  <si>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</si>
  <si>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</si>
  <si>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</si>
  <si>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</si>
  <si>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</si>
  <si>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</si>
  <si>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</si>
  <si>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</si>
  <si>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</si>
  <si>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</si>
  <si>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</si>
  <si>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</si>
  <si>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</si>
  <si>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</si>
  <si>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</si>
  <si>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</si>
  <si>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</si>
  <si>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</si>
  <si>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</si>
  <si>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</si>
  <si>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</si>
  <si>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</si>
  <si>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</si>
  <si>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</si>
  <si>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</si>
  <si>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</si>
  <si>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</si>
  <si>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</si>
  <si>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</si>
  <si>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</si>
  <si>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</si>
  <si>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</si>
  <si>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</si>
  <si>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</si>
  <si>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</si>
  <si>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</si>
  <si>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</si>
  <si>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</si>
  <si>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</si>
  <si>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</si>
  <si>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</si>
  <si>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</si>
  <si>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</si>
  <si>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</si>
  <si>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</si>
  <si>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</si>
  <si>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</si>
  <si>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</si>
  <si>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</si>
  <si>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</si>
  <si>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</si>
  <si>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</si>
  <si>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</si>
  <si>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</si>
  <si>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</si>
  <si>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</si>
  <si>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</si>
  <si>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</si>
  <si>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</si>
  <si>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</si>
  <si>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</si>
  <si>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</si>
  <si>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</si>
  <si>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</si>
  <si>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</si>
  <si>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</si>
  <si>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</si>
  <si>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</si>
  <si>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</si>
  <si>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</si>
  <si>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</si>
  <si>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</si>
  <si>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</si>
  <si>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</si>
  <si>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</si>
  <si>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</si>
  <si>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</si>
  <si>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</si>
  <si>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</si>
  <si>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</si>
  <si>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</si>
  <si>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</si>
  <si>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</si>
  <si>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</si>
  <si>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</si>
  <si>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</si>
  <si>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</si>
  <si>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</si>
  <si>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</si>
  <si>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</si>
  <si>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</si>
  <si>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</si>
  <si>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</si>
  <si>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</si>
  <si>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</si>
  <si>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</si>
  <si>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</si>
  <si>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</si>
  <si>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</si>
  <si>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</si>
  <si>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</si>
  <si>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</si>
  <si>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</si>
  <si>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</si>
  <si>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</si>
  <si>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</si>
  <si>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</si>
  <si>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</si>
  <si>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</si>
  <si>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</si>
  <si>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</si>
  <si>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</si>
  <si>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</si>
  <si>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</si>
  <si>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</si>
  <si>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</si>
  <si>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</si>
  <si>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</si>
  <si>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</si>
  <si>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</si>
  <si>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</si>
  <si>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</si>
  <si>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</si>
  <si>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</si>
  <si>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</si>
  <si>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</si>
  <si>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</si>
  <si>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</si>
  <si>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</si>
  <si>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</si>
  <si>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</si>
  <si>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</si>
  <si>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</si>
  <si>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</si>
  <si>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</si>
  <si>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</si>
  <si>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</si>
  <si>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</si>
  <si>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</si>
  <si>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</si>
  <si>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</si>
  <si>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</si>
  <si>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</si>
  <si>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</si>
  <si>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</si>
  <si>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</si>
  <si>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</si>
  <si>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</si>
  <si>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</si>
  <si>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</si>
  <si>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</si>
  <si>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</si>
  <si>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</si>
  <si>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</si>
  <si>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</si>
  <si>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</si>
  <si>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</si>
  <si>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</si>
  <si>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</si>
  <si>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</si>
  <si>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</si>
  <si>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</si>
  <si>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</si>
  <si>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</si>
  <si>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</si>
  <si>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</si>
  <si>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</si>
  <si>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</si>
  <si>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</si>
  <si>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</si>
  <si>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</si>
  <si>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</si>
  <si>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</si>
  <si>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</si>
  <si>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</si>
  <si>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</si>
  <si>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</si>
  <si>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</si>
  <si>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</si>
  <si>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</si>
  <si>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</si>
  <si>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</si>
  <si>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</si>
  <si>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</si>
  <si>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</si>
  <si>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</si>
  <si>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</si>
  <si>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</si>
  <si>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</si>
  <si>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</si>
  <si>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</si>
  <si>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</si>
  <si>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</si>
  <si>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</si>
  <si>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</si>
  <si>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</si>
  <si>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</si>
  <si>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</si>
  <si>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</si>
  <si>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</si>
  <si>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</si>
  <si>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</si>
  <si>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</si>
  <si>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</si>
  <si>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</si>
  <si>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</si>
  <si>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</si>
  <si>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</si>
  <si>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</si>
  <si>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</si>
  <si>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</si>
  <si>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</si>
  <si>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</si>
  <si>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</si>
  <si>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</si>
  <si>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</si>
  <si>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</si>
  <si>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</si>
  <si>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</si>
  <si>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</si>
  <si>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</si>
  <si>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</si>
  <si>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</si>
  <si>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</si>
  <si>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</si>
  <si>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</si>
  <si>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</si>
  <si>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</si>
  <si>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</si>
  <si>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</si>
  <si>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</si>
  <si>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</si>
  <si>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</si>
  <si>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</si>
  <si>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</si>
  <si>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</si>
  <si>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</si>
  <si>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</si>
  <si>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</si>
  <si>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</si>
  <si>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</si>
  <si>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</si>
  <si>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</si>
  <si>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</si>
  <si>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</si>
  <si>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</si>
  <si>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</si>
  <si>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</si>
  <si>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</si>
  <si>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</si>
  <si>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</si>
  <si>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</si>
  <si>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</si>
  <si>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</si>
  <si>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</si>
  <si>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</si>
  <si>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</si>
  <si>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</si>
  <si>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</si>
  <si>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</si>
  <si>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</si>
  <si>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</si>
  <si>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</si>
  <si>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</si>
  <si>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</si>
  <si>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</si>
  <si>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</si>
  <si>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</si>
  <si>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</si>
  <si>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</si>
  <si>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</si>
  <si>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</si>
  <si>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</si>
  <si>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</si>
  <si>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</si>
  <si>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</si>
  <si>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</si>
  <si>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</si>
  <si>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</si>
  <si>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</si>
  <si>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</si>
  <si>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</si>
  <si>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</si>
  <si>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</si>
  <si>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</si>
  <si>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</si>
  <si>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</si>
  <si>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</si>
  <si>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</si>
  <si>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</si>
  <si>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</si>
  <si>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</si>
  <si>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</si>
  <si>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</si>
  <si>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</si>
  <si>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</si>
  <si>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</si>
  <si>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</si>
  <si>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</si>
  <si>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</si>
  <si>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</si>
  <si>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</si>
  <si>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</si>
  <si>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</si>
  <si>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</si>
  <si>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</si>
  <si>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</si>
  <si>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</si>
  <si>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</si>
  <si>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</si>
  <si>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</si>
  <si>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</si>
  <si>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</si>
  <si>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</si>
  <si>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</si>
  <si>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</si>
  <si>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</si>
  <si>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</si>
  <si>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</si>
  <si>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</si>
  <si>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</si>
  <si>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</si>
  <si>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</si>
  <si>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</si>
  <si>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</si>
  <si>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</si>
  <si>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</si>
  <si>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</si>
  <si>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</si>
  <si>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</si>
  <si>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</si>
  <si>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</si>
  <si>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</si>
  <si>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</si>
  <si>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</si>
  <si>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</si>
  <si>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</si>
  <si>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</si>
  <si>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</si>
  <si>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</si>
  <si>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</si>
  <si>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</si>
  <si>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</si>
  <si>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</si>
  <si>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</si>
  <si>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</si>
  <si>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</si>
  <si>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</si>
  <si>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</si>
  <si>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</si>
  <si>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</si>
  <si>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</si>
  <si>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</si>
  <si>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</si>
  <si>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</si>
  <si>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</si>
  <si>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</si>
  <si>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</si>
  <si>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</si>
  <si>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</si>
  <si>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</si>
  <si>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</si>
  <si>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</si>
  <si>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</si>
  <si>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</si>
  <si>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</si>
  <si>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</si>
  <si>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</si>
  <si>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</si>
  <si>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</si>
  <si>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</si>
  <si>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</si>
  <si>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</si>
  <si>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</si>
  <si>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</si>
  <si>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</si>
  <si>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</si>
  <si>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</si>
  <si>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</si>
  <si>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</si>
  <si>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</si>
  <si>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</si>
  <si>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</si>
  <si>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</si>
  <si>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</si>
  <si>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</si>
  <si>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</si>
  <si>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</si>
  <si>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</si>
  <si>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</si>
  <si>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</si>
  <si>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</si>
  <si>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</si>
  <si>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</si>
  <si>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</si>
  <si>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</si>
  <si>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</si>
  <si>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</si>
  <si>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</si>
  <si>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</si>
  <si>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</si>
  <si>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</si>
  <si>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</si>
  <si>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</si>
  <si>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</si>
  <si>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</si>
  <si>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</si>
  <si>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</si>
  <si>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</si>
  <si>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</si>
  <si>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</si>
  <si>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</si>
  <si>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</si>
  <si>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</si>
  <si>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</si>
  <si>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</si>
  <si>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</si>
  <si>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</si>
  <si>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</si>
  <si>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</si>
  <si>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</si>
  <si>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</si>
  <si>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</si>
  <si>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</si>
  <si>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</si>
  <si>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</si>
  <si>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</si>
  <si>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</si>
  <si>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</si>
  <si>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</si>
  <si>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</si>
  <si>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</si>
  <si>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</si>
  <si>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</si>
  <si>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</si>
  <si>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</si>
  <si>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</si>
  <si>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</si>
  <si>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</si>
  <si>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</si>
  <si>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</si>
  <si>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</si>
  <si>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</si>
  <si>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</si>
  <si>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</si>
  <si>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</si>
  <si>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</si>
  <si>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</si>
  <si>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</si>
  <si>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</si>
  <si>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</si>
  <si>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</si>
  <si>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</si>
  <si>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</si>
  <si>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</si>
  <si>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</si>
  <si>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</si>
  <si>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</si>
  <si>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</si>
  <si>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</si>
  <si>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</si>
  <si>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</si>
  <si>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</si>
  <si>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</si>
  <si>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</si>
  <si>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</si>
  <si>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</si>
  <si>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</si>
  <si>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</si>
  <si>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</si>
  <si>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</si>
  <si>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</si>
  <si>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</si>
  <si>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</si>
  <si>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</si>
  <si>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</si>
  <si>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</si>
  <si>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</si>
  <si>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</si>
  <si>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</si>
  <si>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</si>
  <si>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</si>
  <si>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</si>
  <si>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</si>
  <si>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</si>
  <si>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</si>
  <si>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</si>
  <si>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</si>
  <si>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</si>
  <si>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</si>
  <si>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</si>
  <si>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</si>
  <si>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</si>
  <si>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</si>
  <si>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</si>
  <si>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</si>
  <si>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</si>
  <si>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</si>
  <si>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</si>
  <si>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</si>
  <si>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</si>
  <si>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</si>
  <si>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</si>
  <si>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</si>
  <si>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</si>
  <si>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</si>
  <si>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</si>
  <si>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</si>
  <si>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</si>
  <si>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</si>
  <si>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</si>
  <si>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</si>
  <si>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</si>
  <si>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</si>
  <si>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</si>
  <si>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</si>
  <si>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</si>
  <si>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</si>
  <si>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</si>
  <si>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</si>
  <si>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</si>
  <si>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</si>
  <si>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</si>
  <si>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</si>
  <si>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</si>
  <si>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</si>
  <si>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</si>
  <si>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</si>
  <si>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</si>
  <si>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</si>
  <si>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</si>
  <si>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</si>
  <si>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</si>
  <si>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</si>
  <si>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</si>
  <si>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</si>
  <si>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</si>
  <si>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</si>
  <si>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</si>
  <si>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</si>
  <si>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</si>
  <si>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</si>
  <si>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</si>
  <si>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</si>
  <si>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</si>
  <si>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</si>
  <si>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</si>
  <si>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</si>
  <si>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</si>
  <si>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</si>
  <si>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</si>
  <si>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</si>
  <si>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</si>
  <si>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</si>
  <si>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</si>
  <si>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</si>
  <si>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</si>
  <si>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</si>
  <si>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</si>
  <si>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</si>
  <si>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</si>
  <si>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</si>
  <si>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</si>
  <si>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</si>
  <si>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</si>
  <si>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</si>
  <si>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</si>
  <si>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</si>
  <si>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</si>
  <si>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</si>
  <si>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</si>
  <si>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</si>
  <si>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</si>
  <si>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</si>
  <si>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</si>
  <si>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</si>
  <si>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</si>
  <si>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</si>
  <si>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</si>
  <si>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</si>
  <si>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</si>
  <si>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</si>
  <si>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</si>
  <si>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</si>
  <si>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</si>
  <si>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</si>
  <si>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</si>
  <si>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</si>
  <si>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</si>
  <si>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</si>
  <si>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</si>
  <si>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</si>
  <si>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</si>
  <si>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</si>
  <si>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</si>
  <si>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</si>
  <si>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</si>
  <si>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</si>
  <si>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</si>
  <si>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</si>
  <si>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</si>
  <si>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</si>
  <si>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</si>
  <si>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</si>
  <si>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</si>
  <si>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</si>
  <si>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</si>
  <si>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</si>
  <si>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</si>
  <si>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</si>
  <si>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</si>
  <si>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</si>
  <si>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</si>
  <si>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</si>
  <si>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</si>
  <si>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</si>
  <si>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</si>
  <si>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</si>
  <si>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</si>
  <si>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</si>
  <si>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</si>
  <si>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</si>
  <si>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</si>
  <si>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</si>
  <si>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</si>
  <si>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</si>
  <si>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</si>
  <si>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</si>
  <si>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</si>
  <si>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</si>
  <si>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</si>
  <si>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</si>
  <si>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</si>
  <si>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</si>
  <si>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</si>
  <si>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</si>
  <si>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</si>
  <si>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</si>
  <si>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</si>
  <si>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</si>
  <si>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</si>
  <si>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</si>
  <si>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</si>
  <si>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</si>
  <si>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</si>
  <si>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</si>
  <si>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</si>
  <si>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</si>
  <si>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</si>
  <si>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</si>
  <si>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</si>
  <si>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</si>
  <si>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</si>
  <si>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</si>
  <si>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</si>
  <si>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</si>
  <si>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</si>
  <si>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</si>
  <si>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</si>
  <si>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</si>
  <si>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</si>
  <si>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</si>
  <si>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</si>
  <si>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</si>
  <si>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</si>
  <si>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</si>
  <si>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</si>
  <si>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</si>
  <si>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</si>
  <si>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</si>
  <si>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</si>
  <si>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</si>
  <si>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</si>
  <si>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</si>
  <si>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</si>
  <si>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</si>
  <si>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</si>
  <si>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</si>
  <si>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</si>
  <si>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</si>
  <si>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</si>
  <si>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</si>
  <si>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</si>
  <si>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</si>
  <si>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</si>
  <si>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</si>
  <si>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</si>
  <si>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</si>
  <si>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</si>
  <si>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</si>
  <si>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</si>
  <si>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</si>
  <si>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</si>
  <si>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</si>
  <si>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</si>
  <si>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</si>
  <si>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</si>
  <si>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</si>
  <si>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</si>
  <si>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</si>
  <si>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</si>
  <si>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</si>
  <si>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</si>
  <si>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</si>
  <si>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</si>
  <si>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</si>
  <si>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</si>
  <si>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</si>
  <si>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</si>
  <si>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</si>
  <si>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</si>
  <si>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</si>
  <si>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</si>
  <si>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</si>
  <si>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</si>
  <si>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</si>
  <si>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</si>
  <si>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</si>
  <si>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</si>
  <si>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</si>
  <si>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</si>
  <si>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</si>
  <si>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</si>
  <si>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</si>
  <si>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</si>
  <si>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</si>
  <si>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</si>
  <si>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</si>
  <si>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</si>
  <si>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</si>
  <si>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</si>
  <si>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</si>
  <si>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</si>
  <si>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</si>
  <si>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</si>
  <si>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</si>
  <si>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</si>
  <si>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</si>
  <si>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</si>
  <si>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</si>
  <si>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</si>
  <si>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</si>
  <si>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</si>
  <si>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</si>
  <si>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</si>
  <si>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</si>
  <si>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</si>
  <si>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</si>
  <si>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</si>
  <si>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</si>
  <si>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</si>
  <si>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</si>
  <si>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</si>
  <si>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</si>
  <si>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</si>
  <si>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</si>
  <si>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</si>
  <si>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</si>
  <si>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</si>
  <si>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</si>
  <si>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</si>
  <si>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</si>
  <si>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</si>
  <si>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</si>
  <si>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</si>
  <si>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</si>
  <si>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</si>
  <si>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</si>
  <si>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</si>
  <si>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</si>
  <si>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</si>
  <si>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</si>
  <si>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</si>
  <si>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</si>
  <si>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</si>
  <si>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</si>
  <si>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</si>
  <si>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</si>
  <si>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</si>
  <si>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</si>
  <si>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</si>
  <si>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</si>
  <si>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</si>
  <si>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</si>
  <si>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</si>
  <si>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</si>
  <si>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</si>
  <si>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</si>
  <si>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</si>
  <si>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</si>
  <si>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</si>
  <si>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</si>
  <si>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</si>
  <si>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</si>
  <si>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</si>
  <si>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</si>
  <si>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</si>
  <si>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</si>
  <si>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</si>
  <si>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</si>
  <si>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</si>
  <si>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</si>
  <si>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</si>
  <si>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</si>
  <si>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</si>
  <si>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</si>
  <si>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</si>
  <si>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</si>
  <si>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</si>
  <si>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</si>
  <si>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</si>
  <si>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</si>
  <si>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</si>
  <si>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</si>
  <si>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</si>
  <si>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</si>
  <si>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</si>
  <si>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</si>
  <si>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</si>
  <si>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</si>
  <si>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</si>
  <si>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</si>
  <si>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</si>
  <si>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</si>
  <si>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</si>
  <si>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</si>
  <si>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</si>
  <si>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</si>
  <si>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</si>
  <si>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</si>
  <si>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</si>
  <si>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</si>
  <si>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</si>
  <si>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</si>
  <si>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</si>
  <si>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</si>
  <si>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</si>
  <si>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</si>
  <si>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</si>
  <si>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</si>
  <si>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</si>
  <si>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</si>
  <si>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</si>
  <si>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</si>
  <si>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</si>
  <si>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</si>
  <si>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</si>
  <si>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</si>
  <si>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</si>
  <si>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</si>
  <si>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</si>
  <si>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</si>
  <si>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</si>
  <si>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</si>
  <si>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</si>
  <si>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</si>
  <si>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</si>
  <si>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</si>
  <si>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</si>
  <si>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</si>
  <si>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</si>
  <si>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</si>
  <si>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</si>
  <si>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</si>
  <si>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</si>
  <si>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</si>
  <si>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</si>
  <si>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</si>
  <si>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</si>
  <si>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</si>
  <si>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</si>
  <si>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</si>
  <si>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</si>
  <si>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</si>
  <si>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</si>
  <si>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</si>
  <si>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</si>
  <si>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</si>
  <si>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</si>
  <si>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</si>
  <si>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</si>
  <si>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</si>
  <si>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</si>
  <si>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</si>
  <si>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</si>
  <si>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</si>
  <si>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</si>
  <si>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</si>
  <si>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</si>
  <si>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</si>
  <si>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</si>
  <si>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</si>
  <si>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</si>
  <si>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</si>
  <si>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</si>
  <si>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</si>
  <si>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</si>
  <si>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</si>
  <si>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</si>
  <si>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</si>
  <si>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</si>
  <si>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</si>
  <si>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</si>
  <si>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</si>
  <si>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</si>
  <si>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</si>
  <si>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</si>
  <si>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</si>
  <si>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</si>
  <si>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</si>
  <si>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</si>
  <si>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</si>
  <si>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</si>
  <si>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</si>
  <si>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</si>
  <si>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</si>
  <si>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</si>
  <si>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</si>
  <si>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</si>
  <si>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</si>
  <si>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</si>
  <si>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</si>
  <si>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</si>
  <si>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</si>
  <si>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</si>
  <si>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</si>
  <si>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</si>
  <si>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</si>
  <si>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</si>
  <si>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</si>
  <si>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</si>
  <si>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</si>
  <si>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</si>
  <si>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</si>
  <si>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</si>
  <si>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</si>
  <si>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</si>
  <si>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</si>
  <si>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</si>
  <si>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</si>
  <si>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</si>
  <si>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</si>
  <si>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</si>
  <si>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</si>
  <si>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</si>
  <si>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</si>
  <si>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</si>
  <si>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</si>
  <si>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</si>
  <si>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</si>
  <si>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</si>
  <si>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</si>
  <si>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</si>
  <si>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</si>
  <si>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</si>
  <si>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</si>
  <si>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</si>
  <si>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</si>
  <si>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</si>
  <si>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</si>
  <si>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</si>
  <si>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</si>
  <si>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</si>
  <si>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</si>
  <si>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</si>
  <si>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</si>
  <si>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</si>
  <si>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</si>
  <si>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</si>
  <si>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</si>
  <si>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</si>
  <si>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</si>
  <si>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</si>
  <si>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</si>
  <si>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</si>
  <si>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</si>
  <si>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</si>
  <si>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</si>
  <si>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</si>
  <si>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</si>
  <si>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</si>
  <si>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</si>
  <si>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</si>
  <si>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</si>
  <si>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</si>
  <si>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</si>
  <si>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</si>
  <si>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</si>
  <si>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</si>
  <si>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</si>
  <si>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</si>
  <si>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</si>
  <si>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</si>
  <si>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</si>
  <si>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</si>
  <si>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</si>
  <si>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</si>
  <si>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</si>
  <si>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</si>
  <si>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</si>
  <si>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</si>
  <si>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</si>
  <si>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</si>
  <si>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</si>
  <si>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</si>
  <si>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</si>
  <si>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</si>
  <si>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</si>
  <si>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</si>
  <si>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</si>
  <si>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</si>
  <si>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</si>
  <si>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</si>
  <si>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</si>
  <si>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</si>
  <si>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</si>
  <si>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</si>
  <si>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</si>
  <si>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</si>
  <si>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</si>
  <si>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</si>
  <si>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</si>
  <si>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</si>
  <si>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</si>
  <si>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</si>
  <si>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</si>
  <si>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</si>
  <si>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</si>
  <si>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</si>
  <si>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</si>
  <si>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</si>
  <si>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</si>
  <si>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</si>
  <si>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</si>
  <si>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</si>
  <si>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</si>
  <si>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</si>
  <si>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</si>
  <si>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</si>
  <si>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</si>
  <si>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</si>
  <si>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</si>
  <si>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</si>
  <si>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</si>
  <si>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</si>
  <si>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</si>
  <si>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</si>
  <si>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</si>
  <si>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</si>
  <si>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</si>
  <si>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</si>
  <si>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</si>
  <si>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</si>
  <si>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</si>
  <si>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</si>
  <si>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</si>
  <si>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</si>
  <si>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</si>
  <si>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</si>
  <si>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</si>
  <si>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</si>
  <si>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</si>
  <si>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</si>
  <si>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</si>
  <si>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</si>
  <si>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</si>
  <si>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</si>
  <si>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</si>
  <si>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</si>
  <si>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</si>
  <si>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</si>
  <si>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</si>
  <si>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</si>
  <si>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</si>
  <si>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</si>
  <si>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</si>
  <si>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</si>
  <si>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</si>
  <si>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</si>
  <si>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</si>
  <si>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</si>
  <si>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</si>
  <si>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</si>
  <si>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</si>
  <si>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</si>
  <si>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</si>
  <si>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</si>
  <si>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</si>
  <si>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</si>
  <si>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</si>
  <si>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</si>
  <si>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</si>
  <si>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</si>
  <si>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</si>
  <si>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</si>
  <si>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</si>
  <si>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</si>
  <si>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</si>
  <si>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</si>
  <si>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</si>
  <si>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</si>
  <si>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</si>
  <si>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</si>
  <si>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</si>
  <si>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</si>
  <si>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</si>
  <si>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</si>
  <si>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</si>
  <si>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</si>
  <si>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</si>
  <si>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</si>
  <si>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</si>
  <si>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</si>
  <si>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</si>
  <si>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</si>
  <si>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</si>
  <si>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</si>
  <si>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</si>
  <si>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</si>
  <si>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</si>
  <si>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</si>
  <si>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</si>
  <si>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</si>
  <si>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</si>
  <si>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</si>
  <si>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</si>
  <si>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</si>
  <si>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</si>
  <si>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</si>
  <si>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</si>
  <si>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</si>
  <si>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</si>
  <si>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</si>
  <si>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</si>
  <si>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</si>
  <si>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</si>
  <si>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</si>
  <si>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</si>
  <si>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</si>
  <si>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</si>
  <si>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</si>
  <si>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</si>
  <si>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</si>
  <si>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</si>
  <si>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</si>
  <si>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</si>
  <si>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</si>
  <si>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</si>
  <si>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</si>
  <si>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</si>
  <si>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</si>
  <si>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</si>
  <si>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</si>
  <si>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</si>
  <si>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</si>
  <si>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</si>
  <si>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</si>
  <si>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</si>
  <si>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</si>
  <si>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</si>
  <si>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</si>
  <si>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</si>
  <si>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</si>
  <si>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</si>
  <si>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</si>
  <si>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</si>
  <si>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</si>
  <si>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</si>
  <si>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</si>
  <si>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</si>
  <si>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</si>
  <si>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</si>
  <si>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</si>
  <si>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</si>
  <si>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</si>
  <si>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</si>
  <si>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</si>
  <si>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</si>
  <si>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</si>
  <si>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</si>
  <si>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</si>
  <si>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</si>
  <si>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</si>
  <si>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</si>
  <si>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</si>
  <si>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</si>
  <si>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</si>
  <si>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</si>
  <si>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</si>
  <si>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</si>
  <si>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</si>
  <si>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</si>
  <si>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</si>
  <si>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</si>
  <si>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</si>
  <si>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</si>
  <si>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</si>
  <si>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</si>
  <si>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</si>
  <si>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</si>
  <si>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</si>
  <si>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</si>
  <si>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</si>
  <si>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</si>
  <si>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</si>
  <si>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</si>
  <si>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</si>
  <si>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</si>
  <si>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</si>
  <si>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</si>
  <si>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</si>
  <si>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</si>
  <si>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</si>
  <si>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</si>
  <si>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</si>
  <si>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</si>
  <si>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</si>
  <si>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</si>
  <si>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</si>
  <si>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</si>
  <si>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</si>
  <si>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</si>
  <si>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</si>
  <si>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</si>
  <si>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</si>
  <si>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</si>
  <si>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</si>
  <si>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</si>
  <si>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</si>
  <si>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</si>
  <si>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</si>
  <si>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</si>
  <si>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</si>
  <si>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</si>
  <si>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</si>
  <si>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</si>
  <si>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</si>
  <si>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</si>
  <si>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</si>
  <si>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</si>
  <si>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</si>
  <si>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</si>
  <si>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</si>
  <si>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</si>
  <si>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</si>
  <si>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</si>
  <si>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</si>
  <si>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</si>
  <si>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</si>
  <si>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</si>
  <si>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</si>
  <si>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</si>
  <si>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</si>
  <si>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</si>
  <si>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</si>
  <si>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</si>
  <si>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</si>
  <si>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</si>
  <si>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</si>
  <si>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</si>
  <si>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</si>
  <si>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</si>
  <si>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</si>
  <si>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</si>
  <si>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</si>
  <si>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</si>
  <si>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</si>
  <si>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</si>
  <si>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</si>
  <si>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</si>
  <si>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</si>
  <si>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</si>
  <si>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</si>
  <si>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</si>
  <si>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</si>
  <si>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</si>
  <si>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</si>
  <si>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</si>
  <si>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</si>
  <si>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</si>
  <si>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</si>
  <si>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</si>
  <si>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</si>
  <si>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</si>
  <si>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</si>
  <si>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</si>
  <si>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</si>
  <si>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</si>
  <si>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</si>
  <si>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</si>
  <si>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</si>
  <si>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</si>
  <si>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</si>
  <si>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</si>
  <si>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</si>
  <si>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</si>
  <si>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</si>
  <si>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</si>
  <si>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</si>
  <si>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</si>
  <si>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</si>
  <si>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</si>
  <si>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</si>
  <si>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</si>
  <si>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</si>
  <si>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</si>
  <si>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</si>
  <si>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</si>
  <si>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</si>
  <si>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</si>
  <si>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</si>
  <si>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</si>
  <si>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</si>
  <si>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</si>
  <si>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</si>
  <si>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</si>
  <si>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</si>
  <si>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</si>
  <si>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</si>
  <si>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</si>
  <si>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</si>
  <si>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</si>
  <si>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</si>
  <si>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</si>
  <si>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</si>
  <si>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</si>
  <si>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</si>
  <si>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</si>
  <si>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</si>
  <si>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</si>
  <si>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</si>
  <si>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</si>
  <si>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</si>
  <si>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</si>
  <si>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</si>
  <si>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</si>
  <si>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</si>
  <si>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</si>
  <si>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</si>
  <si>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</si>
  <si>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</si>
  <si>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</si>
  <si>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</si>
  <si>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</si>
  <si>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</si>
  <si>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</si>
  <si>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</si>
  <si>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</si>
  <si>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</si>
  <si>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</si>
  <si>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</si>
  <si>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</si>
  <si>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</si>
  <si>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</si>
  <si>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</si>
  <si>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</si>
  <si>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</si>
  <si>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</si>
  <si>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</si>
  <si>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</si>
  <si>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</si>
  <si>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</si>
  <si>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</si>
  <si>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</si>
  <si>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</si>
  <si>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</si>
  <si>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</si>
  <si>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</si>
  <si>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</si>
  <si>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</si>
  <si>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</si>
  <si>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</si>
  <si>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</si>
  <si>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</si>
  <si>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</si>
  <si>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</si>
  <si>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</si>
  <si>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</si>
  <si>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</si>
  <si>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</si>
  <si>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</si>
  <si>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</si>
  <si>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</si>
  <si>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</si>
  <si>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</si>
  <si>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</si>
  <si>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</si>
  <si>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</si>
  <si>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</si>
  <si>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</si>
  <si>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</si>
  <si>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</si>
  <si>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</si>
  <si>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</si>
  <si>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</si>
  <si>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</si>
  <si>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</si>
  <si>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</si>
  <si>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</si>
  <si>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</si>
  <si>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</si>
  <si>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</si>
  <si>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</si>
  <si>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</si>
  <si>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</si>
  <si>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</si>
  <si>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</si>
  <si>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</si>
  <si>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</si>
  <si>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</si>
  <si>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</si>
  <si>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</si>
  <si>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</si>
  <si>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</si>
  <si>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</si>
  <si>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</si>
  <si>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</si>
  <si>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</si>
  <si>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</si>
  <si>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</si>
  <si>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</si>
  <si>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</si>
  <si>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</si>
  <si>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</si>
  <si>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</si>
  <si>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</si>
  <si>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</si>
  <si>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</si>
  <si>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</si>
  <si>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</si>
  <si>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</si>
  <si>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</si>
  <si>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</si>
  <si>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</si>
  <si>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</si>
  <si>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</si>
  <si>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</si>
  <si>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</si>
  <si>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</si>
  <si>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</si>
  <si>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</si>
  <si>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</si>
  <si>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</si>
  <si>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</si>
  <si>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</si>
  <si>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</si>
  <si>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</si>
  <si>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</si>
  <si>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</si>
  <si>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</si>
  <si>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</si>
  <si>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</si>
  <si>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</si>
  <si>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</si>
  <si>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</si>
  <si>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</si>
  <si>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</si>
  <si>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</si>
  <si>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</si>
  <si>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</si>
  <si>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</si>
  <si>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</si>
  <si>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</si>
  <si>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</si>
  <si>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</si>
  <si>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</si>
  <si>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</si>
  <si>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</si>
  <si>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</si>
  <si>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</si>
  <si>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</si>
  <si>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</si>
  <si>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</si>
  <si>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</si>
  <si>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</si>
  <si>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</si>
  <si>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</si>
  <si>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</si>
  <si>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</si>
  <si>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</si>
  <si>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</si>
  <si>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</si>
  <si>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</si>
  <si>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</si>
  <si>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</si>
  <si>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</si>
  <si>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</si>
  <si>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</si>
  <si>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</si>
  <si>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</si>
  <si>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</si>
  <si>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</si>
  <si>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</si>
  <si>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</si>
  <si>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</si>
  <si>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</si>
  <si>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</si>
  <si>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</si>
  <si>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</si>
  <si>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</si>
  <si>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</si>
  <si>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</si>
  <si>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</si>
  <si>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</si>
  <si>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</si>
  <si>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</si>
  <si>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</si>
  <si>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</si>
  <si>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</si>
  <si>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</si>
  <si>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</si>
  <si>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</si>
  <si>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</si>
  <si>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</si>
  <si>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</si>
  <si>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</si>
  <si>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</si>
  <si>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</si>
  <si>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</si>
  <si>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</si>
  <si>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</si>
  <si>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</si>
  <si>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</si>
  <si>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</si>
  <si>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</si>
  <si>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</si>
  <si>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</si>
  <si>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</si>
  <si>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</si>
  <si>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</si>
  <si>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</si>
  <si>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</si>
  <si>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</si>
  <si>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</si>
  <si>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</si>
  <si>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</si>
  <si>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</si>
  <si>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</si>
  <si>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</si>
  <si>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</si>
  <si>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</si>
  <si>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</si>
  <si>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</si>
  <si>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</si>
  <si>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</si>
  <si>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</si>
  <si>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</si>
  <si>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</si>
  <si>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</si>
  <si>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</si>
  <si>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</si>
  <si>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</si>
  <si>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</si>
  <si>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</si>
  <si>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</si>
  <si>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</si>
  <si>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</si>
  <si>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</si>
  <si>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</si>
  <si>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</si>
  <si>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</si>
  <si>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</si>
  <si>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</si>
  <si>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</si>
  <si>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</si>
  <si>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</si>
  <si>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</si>
  <si>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</si>
  <si>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</si>
  <si>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</si>
  <si>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</si>
  <si>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</si>
  <si>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</si>
  <si>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</si>
  <si>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</si>
  <si>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</si>
  <si>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</si>
  <si>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</si>
  <si>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</si>
  <si>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</si>
  <si>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</si>
  <si>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</si>
  <si>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</si>
  <si>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</si>
  <si>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</si>
  <si>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</si>
  <si>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</si>
  <si>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</si>
  <si>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</si>
  <si>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</si>
  <si>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</si>
  <si>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</si>
  <si>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</si>
  <si>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</si>
  <si>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</si>
  <si>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</si>
  <si>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</si>
  <si>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</si>
  <si>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</si>
  <si>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</si>
  <si>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</si>
  <si>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</si>
  <si>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</si>
  <si>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</si>
  <si>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</si>
  <si>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</si>
  <si>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</si>
  <si>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</si>
  <si>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</si>
  <si>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</si>
  <si>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</si>
  <si>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</si>
  <si>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</si>
  <si>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</si>
  <si>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</si>
  <si>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</si>
  <si>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</si>
  <si>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</si>
  <si>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</si>
  <si>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</si>
  <si>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</si>
  <si>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</si>
  <si>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</si>
  <si>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</si>
  <si>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</si>
  <si>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</si>
  <si>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</si>
  <si>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</si>
  <si>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</si>
  <si>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</si>
  <si>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</si>
  <si>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</si>
  <si>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</si>
  <si>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</si>
  <si>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</si>
  <si>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</si>
  <si>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</si>
  <si>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</si>
  <si>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</si>
  <si>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</si>
  <si>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</si>
  <si>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</si>
  <si>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</si>
  <si>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</si>
  <si>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</si>
  <si>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</si>
  <si>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</si>
  <si>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</si>
  <si>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</si>
  <si>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</si>
  <si>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</si>
  <si>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</si>
  <si>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</si>
  <si>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</si>
  <si>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</si>
  <si>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</si>
  <si>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</si>
  <si>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</si>
  <si>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</si>
  <si>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</si>
  <si>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</si>
  <si>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</si>
  <si>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</si>
  <si>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</si>
  <si>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</si>
  <si>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</si>
  <si>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</si>
  <si>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</si>
  <si>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</si>
  <si>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</si>
  <si>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</si>
  <si>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</si>
  <si>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</si>
  <si>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</si>
  <si>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</si>
  <si>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</si>
  <si>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</si>
  <si>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</si>
  <si>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</si>
  <si>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</si>
  <si>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</si>
  <si>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</si>
  <si>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</si>
  <si>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</si>
  <si>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</si>
  <si>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</si>
  <si>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</si>
  <si>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</si>
  <si>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</si>
  <si>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</si>
  <si>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</si>
  <si>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</si>
  <si>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</si>
  <si>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</si>
  <si>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</si>
  <si>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</si>
  <si>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</si>
  <si>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</si>
  <si>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</si>
  <si>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</si>
  <si>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</si>
  <si>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</si>
  <si>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</si>
  <si>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</si>
  <si>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</si>
  <si>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</si>
  <si>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</si>
  <si>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</si>
  <si>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</si>
  <si>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</si>
  <si>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</si>
  <si>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</si>
  <si>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</si>
  <si>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</si>
  <si>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</si>
  <si>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</si>
  <si>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</si>
  <si>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</si>
  <si>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</si>
  <si>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</si>
  <si>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</si>
  <si>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</si>
  <si>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</si>
  <si>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</si>
  <si>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</si>
  <si>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</si>
  <si>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</si>
  <si>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</si>
  <si>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</si>
  <si>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</si>
  <si>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</si>
  <si>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</si>
  <si>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</si>
  <si>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</si>
  <si>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</si>
  <si>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</si>
  <si>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</si>
  <si>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</si>
  <si>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</si>
  <si>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</si>
  <si>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</si>
  <si>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</si>
  <si>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</si>
  <si>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</si>
  <si>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</si>
  <si>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</si>
  <si>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</si>
  <si>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</si>
  <si>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</si>
  <si>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</si>
  <si>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</si>
  <si>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</si>
  <si>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</si>
  <si>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</si>
  <si>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</si>
  <si>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</si>
  <si>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</si>
  <si>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</si>
  <si>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</si>
  <si>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</si>
  <si>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</si>
  <si>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</si>
  <si>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</si>
  <si>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</si>
  <si>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</si>
  <si>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</si>
  <si>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</si>
  <si>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</si>
  <si>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</si>
  <si>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</si>
  <si>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</si>
  <si>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</si>
  <si>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</si>
  <si>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</si>
  <si>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</si>
  <si>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</si>
  <si>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</si>
  <si>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</si>
  <si>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</si>
  <si>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</si>
  <si>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</si>
  <si>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</si>
  <si>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</si>
  <si>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</si>
  <si>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</si>
  <si>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</si>
  <si>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</si>
  <si>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</si>
  <si>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</si>
  <si>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</si>
  <si>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</si>
  <si>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</si>
  <si>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</si>
  <si>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</si>
  <si>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</si>
  <si>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</si>
  <si>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</si>
  <si>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</si>
  <si>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</si>
  <si>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</si>
  <si>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</si>
  <si>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</si>
  <si>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</si>
  <si>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</si>
  <si>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</si>
  <si>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</si>
  <si>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</si>
  <si>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</si>
  <si>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</si>
  <si>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</si>
  <si>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</si>
  <si>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</si>
  <si>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</si>
  <si>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</si>
  <si>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</si>
  <si>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</si>
  <si>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</si>
  <si>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</si>
  <si>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</si>
  <si>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</si>
  <si>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</si>
  <si>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</si>
  <si>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</si>
  <si>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</si>
  <si>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</si>
  <si>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</si>
  <si>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</si>
  <si>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</si>
  <si>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</si>
  <si>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</si>
  <si>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</si>
  <si>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</si>
  <si>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</si>
  <si>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</si>
  <si>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</si>
  <si>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</si>
  <si>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</si>
  <si>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</si>
  <si>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</si>
  <si>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</si>
  <si>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</si>
  <si>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</si>
  <si>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</si>
  <si>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</si>
  <si>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</si>
  <si>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</si>
  <si>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</si>
  <si>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</si>
  <si>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</si>
  <si>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</si>
  <si>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</si>
  <si>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</si>
  <si>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</si>
  <si>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</si>
  <si>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</si>
  <si>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</si>
  <si>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</si>
  <si>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</si>
  <si>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</si>
  <si>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</si>
  <si>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</si>
  <si>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</si>
  <si>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</si>
  <si>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</si>
  <si>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</si>
  <si>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</si>
  <si>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</si>
  <si>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</si>
  <si>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</si>
  <si>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</si>
  <si>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</si>
  <si>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</si>
  <si>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</si>
  <si>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</si>
  <si>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</si>
  <si>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</si>
  <si>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</si>
  <si>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</si>
  <si>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</si>
  <si>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</si>
  <si>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</si>
  <si>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</si>
  <si>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</si>
  <si>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</si>
  <si>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</si>
  <si>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</si>
  <si>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</si>
  <si>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</si>
  <si>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</si>
  <si>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</si>
  <si>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</si>
  <si>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</si>
  <si>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</si>
  <si>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</si>
  <si>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</si>
  <si>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</si>
  <si>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</si>
  <si>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</si>
  <si>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</si>
  <si>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</si>
  <si>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</si>
  <si>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</si>
  <si>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</si>
  <si>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</si>
  <si>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</si>
  <si>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</si>
  <si>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</si>
  <si>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</si>
  <si>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</si>
  <si>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</si>
  <si>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</si>
  <si>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</si>
  <si>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</si>
  <si>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</si>
  <si>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</si>
  <si>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</si>
  <si>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</si>
  <si>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</si>
  <si>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</si>
  <si>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</si>
  <si>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</si>
  <si>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</si>
  <si>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</si>
  <si>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</si>
  <si>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</si>
  <si>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</si>
  <si>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</si>
  <si>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</si>
  <si>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</si>
  <si>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</si>
  <si>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</si>
  <si>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</si>
  <si>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</si>
  <si>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</si>
  <si>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</si>
  <si>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</si>
  <si>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</si>
  <si>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</si>
  <si>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</si>
  <si>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</si>
  <si>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</si>
  <si>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</si>
  <si>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</si>
  <si>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</si>
  <si>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</si>
  <si>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</si>
  <si>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</si>
  <si>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</si>
  <si>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</si>
  <si>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</si>
  <si>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</si>
  <si>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</si>
  <si>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</si>
  <si>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</si>
  <si>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</si>
  <si>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</si>
  <si>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</si>
  <si>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</si>
  <si>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</si>
  <si>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</si>
  <si>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</si>
  <si>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</si>
  <si>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</si>
  <si>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</si>
  <si>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</si>
  <si>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</si>
  <si>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</si>
  <si>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</si>
  <si>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</si>
  <si>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</si>
  <si>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</si>
  <si>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</si>
  <si>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</si>
  <si>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</si>
  <si>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</si>
  <si>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</si>
  <si>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</si>
  <si>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</si>
  <si>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</si>
  <si>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</si>
  <si>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</si>
  <si>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</si>
  <si>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</si>
  <si>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</si>
  <si>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</si>
  <si>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</si>
  <si>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</si>
  <si>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</si>
  <si>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</si>
  <si>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</si>
  <si>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</si>
  <si>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</si>
  <si>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</si>
  <si>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</si>
  <si>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</si>
  <si>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</si>
  <si>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</si>
  <si>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</si>
  <si>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</si>
  <si>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</si>
  <si>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</si>
  <si>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</si>
  <si>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</si>
  <si>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</si>
  <si>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</si>
  <si>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</si>
  <si>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</si>
  <si>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</si>
  <si>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</si>
  <si>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</si>
  <si>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</si>
  <si>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</si>
  <si>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</si>
  <si>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</si>
  <si>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</si>
  <si>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</si>
  <si>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</si>
  <si>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</si>
  <si>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</si>
  <si>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</si>
  <si>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</si>
  <si>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</si>
  <si>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</si>
  <si>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</si>
  <si>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</si>
  <si>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</si>
  <si>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</si>
  <si>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</si>
  <si>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</si>
  <si>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</si>
  <si>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</si>
  <si>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</si>
  <si>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</si>
  <si>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</si>
  <si>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</si>
  <si>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</si>
  <si>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</si>
  <si>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</si>
  <si>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</si>
  <si>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</si>
  <si>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</si>
  <si>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</si>
  <si>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</si>
  <si>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</si>
  <si>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</si>
  <si>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</si>
  <si>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</si>
  <si>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</si>
  <si>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</si>
  <si>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</si>
  <si>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</si>
  <si>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</si>
  <si>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</si>
  <si>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</si>
  <si>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</si>
  <si>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</si>
  <si>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</si>
  <si>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</si>
  <si>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</si>
  <si>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</si>
  <si>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</si>
  <si>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</si>
  <si>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</si>
  <si>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</si>
  <si>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</si>
  <si>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</si>
  <si>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</si>
  <si>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</si>
  <si>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</si>
  <si>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</si>
  <si>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</si>
  <si>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</si>
  <si>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</si>
  <si>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</si>
  <si>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</si>
  <si>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</si>
  <si>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</si>
  <si>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</si>
  <si>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</si>
  <si>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</si>
  <si>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</si>
  <si>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</si>
  <si>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</si>
  <si>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</si>
  <si>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</si>
  <si>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</si>
  <si>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</si>
  <si>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</si>
  <si>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</si>
  <si>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</si>
  <si>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</si>
  <si>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</si>
  <si>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</si>
  <si>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</si>
  <si>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</si>
  <si>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</si>
  <si>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</si>
  <si>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</si>
  <si>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</si>
  <si>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</si>
  <si>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</si>
  <si>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</si>
  <si>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</si>
  <si>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</si>
  <si>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</si>
  <si>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</si>
  <si>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</si>
  <si>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</si>
  <si>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</si>
  <si>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</si>
  <si>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</si>
  <si>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</si>
  <si>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</si>
  <si>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</si>
  <si>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</si>
  <si>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</si>
  <si>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</si>
  <si>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</si>
  <si>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</si>
  <si>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</si>
  <si>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</si>
  <si>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</si>
  <si>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</si>
  <si>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</si>
  <si>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</si>
  <si>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</si>
  <si>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</si>
  <si>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</si>
  <si>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</si>
  <si>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</si>
  <si>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</si>
  <si>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</si>
  <si>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</si>
  <si>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</si>
  <si>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</si>
  <si>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</si>
  <si>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</si>
  <si>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</si>
  <si>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</si>
  <si>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</si>
  <si>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</si>
  <si>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</si>
  <si>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</si>
  <si>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</si>
  <si>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</si>
  <si>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</si>
  <si>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</si>
  <si>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</si>
  <si>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</si>
  <si>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</si>
  <si>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</si>
  <si>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</si>
  <si>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</si>
  <si>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</si>
  <si>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</si>
  <si>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</si>
  <si>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</si>
  <si>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</si>
  <si>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</si>
  <si>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</si>
  <si>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</si>
  <si>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</si>
  <si>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</si>
  <si>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</si>
  <si>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</si>
  <si>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</si>
  <si>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</si>
  <si>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</si>
  <si>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</si>
  <si>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</si>
  <si>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</si>
  <si>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</si>
  <si>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</si>
  <si>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</si>
  <si>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</si>
  <si>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</si>
  <si>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</si>
  <si>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</si>
  <si>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</si>
  <si>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</si>
  <si>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</si>
  <si>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</si>
  <si>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</si>
  <si>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</si>
  <si>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</si>
  <si>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</si>
  <si>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</si>
  <si>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</si>
  <si>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</si>
  <si>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</si>
  <si>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</si>
  <si>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</si>
  <si>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</si>
  <si>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</si>
  <si>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</si>
  <si>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</si>
  <si>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</si>
  <si>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</si>
  <si>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</si>
  <si>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</si>
  <si>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</si>
  <si>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</si>
  <si>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</si>
  <si>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</si>
  <si>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</si>
  <si>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</si>
  <si>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</si>
  <si>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</si>
  <si>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</si>
  <si>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</si>
  <si>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</si>
  <si>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</si>
  <si>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</si>
  <si>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</si>
  <si>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</si>
  <si>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</si>
  <si>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</si>
  <si>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</si>
  <si>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</si>
  <si>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</si>
  <si>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</si>
  <si>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</si>
  <si>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</si>
  <si>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</si>
  <si>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</si>
  <si>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</si>
  <si>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</si>
  <si>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</si>
  <si>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</si>
  <si>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</si>
  <si>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</si>
  <si>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</si>
  <si>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</si>
  <si>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</si>
  <si>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</si>
  <si>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</si>
  <si>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</si>
  <si>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</si>
  <si>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</si>
  <si>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</si>
  <si>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</si>
  <si>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</si>
  <si>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</si>
  <si>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</si>
  <si>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</si>
  <si>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</si>
  <si>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</si>
  <si>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</si>
  <si>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</si>
  <si>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</si>
  <si>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</si>
  <si>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</si>
  <si>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</si>
  <si>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</si>
  <si>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</si>
  <si>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</si>
  <si>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</si>
  <si>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</si>
  <si>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</si>
  <si>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</si>
  <si>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</si>
  <si>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</si>
  <si>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</si>
  <si>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</si>
  <si>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</si>
  <si>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</si>
  <si>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</si>
  <si>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</si>
  <si>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</si>
  <si>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</si>
  <si>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</si>
  <si>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</si>
  <si>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</si>
  <si>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</si>
  <si>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</si>
  <si>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</si>
  <si>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</si>
  <si>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</si>
  <si>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</si>
  <si>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</si>
  <si>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</si>
  <si>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</si>
  <si>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</si>
  <si>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</si>
  <si>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</si>
  <si>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</si>
  <si>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</si>
  <si>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</si>
  <si>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</si>
  <si>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</si>
  <si>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</si>
  <si>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</si>
  <si>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</si>
  <si>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</si>
  <si>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</si>
  <si>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</si>
  <si>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</si>
  <si>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</si>
  <si>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</si>
  <si>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</si>
  <si>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</si>
  <si>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</si>
  <si>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</si>
  <si>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</si>
  <si>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</si>
  <si>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</si>
  <si>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</si>
  <si>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</si>
  <si>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</si>
  <si>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</si>
  <si>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</si>
  <si>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</si>
  <si>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</si>
  <si>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</si>
  <si>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</si>
  <si>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</si>
  <si>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</si>
  <si>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</si>
  <si>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</si>
  <si>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</si>
  <si>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</si>
  <si>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</si>
  <si>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</si>
  <si>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</si>
  <si>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</si>
  <si>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</si>
  <si>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</si>
  <si>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</si>
  <si>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</si>
  <si>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</si>
  <si>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</si>
  <si>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</si>
  <si>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</si>
  <si>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</si>
  <si>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</si>
  <si>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</si>
  <si>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</si>
  <si>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</si>
  <si>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</si>
  <si>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</si>
  <si>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</si>
  <si>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</si>
  <si>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</si>
  <si>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</si>
  <si>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</si>
  <si>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</si>
  <si>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</si>
  <si>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</si>
  <si>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</si>
  <si>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</si>
  <si>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</si>
  <si>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</si>
  <si>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</si>
  <si>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</si>
  <si>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</si>
  <si>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</si>
  <si>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</si>
  <si>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</si>
  <si>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</si>
  <si>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</si>
  <si>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</si>
  <si>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</si>
  <si>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</si>
  <si>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</si>
  <si>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</si>
  <si>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</si>
  <si>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</si>
  <si>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</si>
  <si>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</si>
  <si>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</si>
  <si>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</si>
  <si>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</si>
  <si>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</si>
  <si>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</si>
  <si>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</si>
  <si>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</si>
  <si>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</si>
  <si>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</si>
  <si>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</si>
  <si>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</si>
  <si>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</si>
  <si>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</si>
  <si>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</si>
  <si>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</si>
  <si>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</si>
  <si>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</si>
  <si>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</si>
  <si>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</si>
  <si>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</si>
  <si>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</si>
  <si>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</si>
  <si>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</si>
  <si>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</si>
  <si>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</si>
  <si>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</si>
  <si>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</si>
  <si>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</si>
  <si>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</si>
  <si>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</si>
  <si>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</si>
  <si>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</si>
  <si>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</si>
  <si>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</si>
  <si>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</si>
  <si>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</si>
  <si>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</si>
  <si>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</si>
  <si>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</si>
  <si>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</si>
  <si>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</si>
  <si>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</si>
  <si>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</si>
  <si>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</si>
  <si>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</si>
  <si>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</si>
  <si>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</si>
  <si>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</si>
  <si>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</si>
  <si>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</si>
  <si>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</si>
  <si>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</si>
  <si>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</si>
  <si>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</si>
  <si>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</si>
  <si>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</si>
  <si>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</si>
  <si>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</si>
  <si>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</si>
  <si>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</si>
  <si>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</si>
  <si>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</si>
  <si>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</si>
  <si>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</si>
  <si>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</si>
  <si>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</si>
  <si>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</si>
  <si>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</si>
  <si>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</si>
  <si>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</si>
  <si>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</si>
  <si>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</si>
  <si>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</si>
  <si>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</si>
  <si>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</si>
  <si>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</si>
  <si>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</si>
  <si>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</si>
  <si>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</si>
  <si>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</si>
  <si>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</si>
  <si>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</si>
  <si>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</si>
  <si>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</si>
  <si>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</si>
  <si>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</si>
  <si>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</si>
  <si>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</si>
  <si>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</si>
  <si>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</si>
  <si>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</si>
  <si>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</si>
  <si>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</si>
  <si>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</si>
  <si>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</si>
  <si>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</si>
  <si>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</si>
  <si>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</si>
  <si>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</si>
  <si>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</si>
  <si>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</si>
  <si>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</si>
  <si>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</si>
  <si>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</si>
  <si>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</si>
  <si>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</si>
  <si>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</si>
  <si>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</si>
  <si>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</si>
  <si>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</si>
  <si>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</si>
  <si>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</si>
  <si>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</si>
  <si>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</si>
  <si>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</si>
  <si>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</si>
  <si>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</si>
  <si>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</si>
  <si>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</si>
  <si>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</si>
  <si>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</si>
  <si>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</si>
  <si>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</si>
  <si>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</si>
  <si>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</si>
  <si>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</si>
  <si>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</si>
  <si>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</si>
  <si>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</si>
  <si>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</si>
  <si>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</si>
  <si>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</si>
  <si>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</si>
  <si>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</si>
  <si>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</si>
  <si>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</si>
  <si>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</si>
  <si>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</si>
  <si>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</si>
  <si>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</si>
  <si>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</si>
  <si>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</si>
  <si>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</si>
  <si>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</si>
  <si>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</si>
  <si>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</si>
  <si>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</si>
  <si>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</si>
  <si>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</si>
  <si>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</si>
  <si>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</si>
  <si>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</si>
  <si>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</si>
  <si>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</si>
  <si>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</si>
  <si>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</si>
  <si>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</si>
  <si>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</si>
  <si>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</si>
  <si>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</si>
  <si>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</si>
  <si>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</si>
  <si>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</si>
  <si>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</si>
  <si>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</si>
  <si>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</si>
  <si>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</si>
  <si>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</si>
  <si>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</si>
  <si>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</si>
  <si>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</si>
  <si>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</si>
  <si>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</si>
  <si>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</si>
  <si>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</si>
  <si>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</si>
  <si>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</si>
  <si>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</si>
  <si>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</si>
  <si>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</si>
  <si>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</si>
  <si>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</si>
  <si>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</si>
  <si>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</si>
  <si>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</si>
  <si>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</si>
  <si>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</si>
  <si>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</si>
  <si>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</si>
  <si>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</si>
  <si>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</si>
  <si>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</si>
  <si>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</si>
  <si>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</si>
  <si>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</si>
  <si>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</si>
  <si>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</si>
  <si>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</si>
  <si>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</si>
  <si>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</si>
  <si>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</si>
  <si>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</si>
  <si>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</si>
  <si>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</si>
  <si>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</si>
  <si>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</si>
  <si>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</si>
  <si>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</si>
  <si>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</si>
  <si>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</si>
  <si>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</si>
  <si>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</si>
  <si>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</si>
  <si>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</si>
  <si>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</si>
  <si>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</si>
  <si>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</si>
  <si>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</si>
  <si>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</si>
  <si>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</si>
  <si>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</si>
  <si>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</si>
  <si>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</si>
  <si>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</si>
  <si>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</si>
  <si>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</si>
  <si>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</si>
  <si>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</si>
  <si>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</si>
  <si>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</si>
  <si>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</si>
  <si>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</si>
  <si>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</si>
  <si>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</si>
  <si>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</si>
  <si>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</si>
  <si>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</si>
  <si>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</si>
  <si>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</si>
  <si>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</si>
  <si>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</si>
  <si>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</si>
  <si>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</si>
  <si>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</si>
  <si>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</si>
  <si>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</si>
  <si>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</si>
  <si>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</si>
  <si>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</si>
  <si>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</si>
  <si>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</si>
  <si>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</si>
  <si>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</si>
  <si>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</si>
  <si>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</si>
  <si>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</si>
  <si>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</si>
  <si>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</si>
  <si>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</si>
  <si>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</si>
  <si>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</si>
  <si>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</si>
  <si>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</si>
  <si>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</si>
  <si>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</si>
  <si>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</si>
  <si>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</si>
  <si>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</si>
  <si>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</si>
  <si>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</si>
  <si>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</si>
  <si>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</si>
  <si>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</si>
  <si>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</si>
  <si>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</si>
  <si>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</si>
  <si>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</si>
  <si>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</si>
  <si>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</si>
  <si>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</si>
  <si>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</si>
  <si>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</si>
  <si>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</si>
  <si>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</si>
  <si>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</si>
  <si>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</si>
  <si>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</si>
  <si>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</si>
  <si>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</si>
  <si>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</si>
  <si>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</si>
  <si>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</si>
  <si>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</si>
  <si>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</si>
  <si>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</si>
  <si>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</si>
  <si>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</si>
  <si>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</si>
  <si>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</si>
  <si>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</si>
  <si>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</si>
  <si>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</si>
  <si>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</si>
  <si>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</si>
  <si>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</si>
  <si>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</si>
  <si>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</si>
  <si>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</si>
  <si>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</si>
  <si>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</si>
  <si>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</si>
  <si>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</si>
  <si>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</si>
  <si>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</si>
  <si>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</si>
  <si>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</si>
  <si>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</si>
  <si>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</si>
  <si>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</si>
  <si>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</si>
  <si>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</si>
  <si>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</si>
  <si>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</si>
  <si>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</si>
  <si>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</si>
  <si>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</si>
  <si>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</si>
  <si>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</si>
  <si>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</si>
  <si>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</si>
  <si>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</si>
  <si>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</si>
  <si>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</si>
  <si>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</si>
  <si>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</si>
  <si>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</si>
  <si>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</si>
  <si>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</si>
  <si>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</si>
  <si>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</si>
  <si>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</si>
  <si>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</si>
  <si>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</si>
  <si>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</si>
  <si>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</si>
  <si>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</si>
  <si>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</si>
  <si>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</si>
  <si>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</si>
  <si>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</si>
  <si>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</si>
  <si>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</si>
  <si>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</si>
  <si>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</si>
  <si>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</si>
  <si>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</si>
  <si>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</si>
  <si>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</si>
  <si>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</si>
  <si>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</si>
  <si>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</si>
  <si>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</si>
  <si>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</si>
  <si>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</si>
  <si>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</si>
  <si>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</si>
  <si>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</si>
  <si>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</si>
  <si>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</si>
  <si>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</si>
  <si>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</si>
  <si>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</si>
  <si>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</si>
  <si>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</si>
  <si>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</si>
  <si>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</si>
  <si>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</si>
  <si>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</si>
  <si>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</si>
  <si>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</si>
  <si>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</si>
  <si>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</si>
  <si>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</si>
  <si>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</si>
  <si>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</si>
  <si>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</si>
  <si>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</si>
  <si>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</si>
  <si>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</si>
  <si>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</si>
  <si>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</si>
  <si>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</si>
  <si>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</si>
  <si>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</si>
  <si>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</si>
  <si>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</si>
  <si>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</si>
  <si>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</si>
  <si>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</si>
  <si>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</si>
  <si>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</si>
  <si>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</si>
  <si>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</si>
  <si>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</si>
  <si>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</si>
  <si>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</si>
  <si>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</si>
  <si>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</si>
  <si>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</si>
  <si>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</si>
  <si>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</si>
  <si>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</si>
  <si>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</si>
  <si>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</si>
  <si>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</si>
  <si>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</si>
  <si>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</si>
  <si>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</si>
  <si>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</si>
  <si>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</si>
  <si>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</si>
  <si>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</si>
  <si>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</si>
  <si>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</si>
  <si>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</si>
  <si>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</si>
  <si>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</si>
  <si>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</si>
  <si>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</si>
  <si>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</si>
  <si>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</si>
  <si>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</si>
  <si>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</si>
  <si>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</si>
  <si>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</si>
  <si>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</si>
  <si>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</si>
  <si>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</si>
  <si>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</si>
  <si>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</si>
  <si>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</si>
  <si>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</si>
  <si>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</si>
  <si>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</si>
  <si>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</si>
  <si>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</si>
  <si>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</si>
  <si>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</si>
  <si>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</si>
  <si>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</si>
  <si>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</si>
  <si>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</si>
  <si>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</si>
  <si>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</si>
  <si>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</si>
  <si>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</si>
  <si>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</si>
  <si>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</si>
  <si>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</si>
  <si>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</si>
  <si>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</si>
  <si>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</si>
  <si>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</si>
  <si>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</si>
  <si>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</si>
  <si>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</si>
  <si>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</si>
  <si>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</si>
  <si>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</si>
  <si>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</si>
  <si>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</si>
  <si>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</si>
  <si>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</si>
  <si>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</si>
  <si>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</si>
  <si>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</si>
  <si>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</si>
  <si>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</si>
  <si>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</si>
  <si>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</si>
  <si>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</si>
  <si>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</si>
  <si>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</si>
  <si>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</si>
  <si>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</si>
  <si>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</si>
  <si>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</si>
  <si>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</si>
  <si>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</si>
  <si>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</si>
  <si>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</si>
  <si>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</si>
  <si>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</si>
  <si>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</si>
  <si>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</si>
  <si>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</si>
  <si>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</si>
  <si>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</si>
  <si>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</si>
  <si>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</si>
  <si>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</si>
  <si>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</si>
  <si>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</si>
  <si>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</si>
  <si>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</si>
  <si>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</si>
  <si>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</si>
  <si>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</si>
  <si>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</si>
  <si>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</si>
  <si>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</si>
  <si>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</si>
  <si>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</si>
  <si>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</si>
  <si>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</si>
  <si>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</si>
  <si>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</si>
  <si>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</si>
  <si>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</si>
  <si>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</si>
  <si>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</si>
  <si>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</si>
  <si>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</si>
  <si>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</si>
  <si>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</si>
  <si>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</si>
  <si>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</si>
  <si>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</si>
  <si>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</si>
  <si>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</si>
  <si>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</si>
  <si>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</si>
  <si>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</si>
  <si>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</si>
  <si>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</si>
  <si>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</si>
  <si>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</si>
  <si>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</si>
  <si>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</si>
  <si>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</si>
  <si>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</si>
  <si>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</si>
  <si>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</si>
  <si>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</si>
  <si>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</si>
  <si>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</si>
  <si>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</si>
  <si>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</si>
  <si>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</si>
  <si>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</si>
  <si>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</si>
  <si>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</si>
  <si>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</si>
  <si>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</si>
  <si>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</si>
  <si>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</si>
  <si>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</si>
  <si>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</si>
  <si>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</si>
  <si>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</si>
  <si>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</si>
  <si>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</si>
  <si>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</si>
  <si>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</si>
  <si>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</si>
  <si>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</si>
  <si>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</si>
  <si>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</si>
  <si>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</si>
  <si>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</si>
  <si>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</si>
  <si>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</si>
  <si>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</si>
  <si>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</si>
  <si>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</si>
  <si>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</si>
  <si>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</si>
  <si>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</si>
  <si>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</si>
  <si>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</si>
  <si>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</si>
  <si>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</si>
  <si>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</si>
  <si>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</si>
  <si>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</si>
  <si>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</si>
  <si>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</si>
  <si>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</si>
  <si>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</si>
  <si>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</si>
  <si>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</si>
  <si>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</si>
  <si>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</si>
  <si>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</si>
  <si>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</si>
  <si>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</si>
  <si>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</si>
  <si>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</si>
  <si>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</si>
  <si>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</si>
  <si>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</si>
  <si>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</si>
  <si>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</si>
  <si>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</si>
  <si>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</si>
  <si>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</si>
  <si>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</si>
  <si>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</si>
  <si>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</si>
  <si>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</si>
  <si>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</si>
  <si>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</si>
  <si>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</si>
  <si>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</si>
  <si>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</si>
  <si>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</si>
  <si>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</si>
  <si>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</si>
  <si>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</si>
  <si>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</si>
  <si>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</si>
  <si>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</si>
  <si>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</si>
  <si>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</si>
  <si>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</si>
  <si>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</si>
  <si>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</si>
  <si>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</si>
  <si>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</si>
  <si>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</si>
  <si>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</si>
  <si>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</si>
  <si>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</si>
  <si>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</si>
  <si>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</si>
  <si>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</si>
  <si>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</si>
  <si>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</si>
  <si>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</si>
  <si>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</si>
  <si>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</si>
  <si>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</si>
  <si>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</si>
  <si>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</si>
  <si>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</si>
  <si>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</si>
  <si>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</si>
  <si>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</si>
  <si>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</si>
  <si>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</si>
  <si>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</si>
  <si>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</si>
  <si>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</si>
  <si>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</si>
  <si>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</si>
  <si>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</si>
  <si>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</si>
  <si>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</si>
  <si>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</si>
  <si>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</si>
  <si>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</si>
  <si>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</si>
  <si>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</si>
  <si>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</si>
  <si>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</si>
  <si>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</si>
  <si>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</si>
  <si>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</si>
  <si>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</si>
  <si>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</si>
  <si>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</si>
  <si>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</si>
  <si>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</si>
  <si>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</si>
  <si>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</si>
  <si>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</si>
  <si>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</si>
  <si>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</si>
  <si>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</si>
  <si>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</si>
  <si>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</si>
  <si>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</si>
  <si>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</si>
  <si>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</si>
  <si>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</si>
  <si>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</si>
  <si>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</si>
  <si>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</si>
  <si>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</si>
  <si>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</si>
  <si>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</si>
  <si>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</si>
  <si>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</si>
  <si>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</si>
  <si>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</si>
  <si>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</si>
  <si>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</si>
  <si>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</si>
  <si>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</si>
  <si>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</si>
  <si>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</si>
  <si>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</si>
  <si>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</si>
  <si>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</si>
  <si>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</si>
  <si>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</si>
  <si>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</si>
  <si>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</si>
  <si>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</si>
  <si>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</si>
  <si>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</si>
  <si>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</si>
  <si>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</si>
  <si>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</si>
  <si>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</si>
  <si>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</si>
  <si>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</si>
  <si>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</si>
  <si>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</si>
  <si>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</si>
  <si>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</si>
  <si>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</si>
  <si>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</si>
  <si>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</si>
  <si>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</si>
  <si>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</si>
  <si>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</si>
  <si>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</si>
  <si>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</si>
  <si>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</si>
  <si>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</si>
  <si>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</si>
  <si>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</si>
  <si>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</si>
  <si>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</si>
  <si>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</si>
  <si>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</si>
  <si>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</si>
  <si>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</si>
  <si>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</si>
  <si>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</si>
  <si>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</si>
  <si>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</si>
  <si>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</si>
  <si>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</si>
  <si>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</si>
  <si>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</si>
  <si>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</si>
  <si>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</si>
  <si>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</si>
  <si>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</si>
  <si>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</si>
  <si>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</si>
  <si>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</si>
  <si>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</si>
  <si>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</si>
  <si>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</si>
  <si>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</si>
  <si>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</si>
  <si>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</si>
  <si>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</si>
  <si>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</si>
  <si>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</si>
  <si>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</si>
  <si>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</si>
  <si>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</si>
  <si>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</si>
  <si>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</si>
  <si>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</si>
  <si>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</si>
  <si>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</si>
  <si>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</si>
  <si>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</si>
  <si>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</si>
  <si>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</si>
  <si>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</si>
  <si>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</si>
  <si>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</si>
  <si>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</si>
  <si>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</si>
  <si>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</si>
  <si>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</si>
  <si>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</si>
  <si>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</si>
  <si>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</si>
  <si>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</si>
  <si>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</si>
  <si>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</si>
  <si>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</si>
  <si>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</si>
  <si>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</si>
  <si>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</si>
  <si>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</si>
  <si>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</si>
  <si>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</si>
  <si>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</si>
  <si>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</si>
  <si>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</si>
  <si>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</si>
  <si>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</si>
  <si>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</si>
  <si>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</si>
  <si>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</si>
  <si>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</si>
  <si>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</si>
  <si>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</si>
  <si>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</si>
  <si>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</si>
  <si>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</si>
  <si>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</si>
  <si>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</si>
  <si>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</si>
  <si>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</si>
  <si>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</si>
  <si>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</si>
  <si>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</si>
  <si>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</si>
  <si>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</si>
  <si>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</si>
  <si>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</si>
  <si>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</si>
  <si>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</si>
  <si>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</si>
  <si>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</si>
  <si>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</si>
  <si>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</si>
  <si>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</si>
  <si>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</si>
  <si>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</si>
  <si>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</si>
  <si>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</si>
  <si>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</si>
  <si>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</si>
  <si>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</si>
  <si>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</si>
  <si>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</si>
  <si>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</si>
  <si>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</si>
  <si>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</si>
  <si>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</si>
  <si>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</si>
  <si>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</si>
  <si>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</si>
  <si>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</si>
  <si>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</si>
  <si>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</si>
  <si>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</si>
  <si>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</si>
  <si>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</si>
  <si>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</si>
  <si>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</si>
  <si>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</si>
  <si>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</si>
  <si>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</si>
  <si>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</si>
  <si>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</si>
  <si>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</si>
  <si>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</si>
  <si>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</si>
  <si>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</si>
  <si>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</si>
  <si>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</si>
  <si>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</si>
  <si>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</si>
  <si>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</si>
  <si>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</si>
  <si>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</si>
  <si>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</si>
  <si>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</si>
  <si>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</si>
  <si>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</si>
  <si>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</si>
  <si>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</si>
  <si>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</si>
  <si>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</si>
  <si>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</si>
  <si>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</si>
  <si>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</si>
  <si>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</si>
  <si>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</si>
  <si>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</si>
  <si>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</si>
  <si>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</si>
  <si>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</si>
  <si>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</si>
  <si>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</si>
  <si>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</si>
  <si>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</si>
  <si>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</si>
  <si>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</si>
  <si>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</si>
  <si>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</si>
  <si>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</si>
  <si>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</si>
  <si>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</si>
  <si>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</si>
  <si>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</si>
  <si>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</si>
  <si>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</si>
  <si>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</si>
  <si>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</si>
  <si>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</si>
  <si>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</si>
  <si>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</si>
  <si>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</si>
  <si>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</si>
  <si>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</si>
  <si>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</si>
  <si>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</si>
  <si>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</si>
  <si>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</si>
  <si>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</si>
  <si>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</si>
  <si>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</si>
  <si>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</si>
  <si>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</si>
  <si>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</si>
  <si>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</si>
  <si>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</si>
  <si>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</si>
  <si>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</si>
  <si>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</si>
  <si>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</si>
  <si>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</si>
  <si>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</si>
  <si>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</si>
  <si>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</si>
  <si>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</si>
  <si>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</si>
  <si>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</si>
  <si>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</si>
  <si>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</si>
  <si>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</si>
  <si>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</si>
  <si>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</si>
  <si>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</si>
  <si>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</si>
  <si>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</si>
  <si>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</si>
  <si>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</si>
  <si>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</si>
  <si>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</si>
  <si>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</si>
  <si>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</si>
  <si>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</si>
  <si>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</si>
  <si>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</si>
  <si>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</si>
  <si>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</si>
  <si>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</si>
  <si>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</si>
  <si>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</si>
  <si>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</si>
  <si>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</si>
  <si>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</si>
  <si>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</si>
  <si>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</si>
  <si>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</si>
  <si>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</si>
  <si>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</si>
  <si>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</si>
  <si>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</si>
  <si>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</si>
  <si>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</si>
  <si>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</si>
  <si>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</si>
  <si>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</si>
  <si>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</si>
  <si>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</si>
  <si>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</si>
  <si>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</si>
  <si>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</si>
  <si>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</si>
  <si>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</si>
  <si>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</si>
  <si>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</si>
  <si>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</si>
  <si>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</si>
  <si>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</si>
  <si>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</si>
  <si>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</si>
  <si>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</si>
  <si>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</si>
  <si>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</si>
  <si>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</si>
  <si>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</si>
  <si>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</si>
  <si>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</si>
  <si>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</si>
  <si>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</si>
  <si>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</si>
  <si>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</si>
  <si>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</si>
  <si>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</si>
  <si>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</si>
  <si>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</si>
  <si>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</si>
  <si>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</si>
  <si>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</si>
  <si>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</si>
  <si>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</si>
  <si>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</si>
  <si>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</si>
  <si>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</si>
  <si>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</si>
  <si>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</si>
  <si>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</si>
  <si>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</si>
  <si>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</si>
  <si>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</si>
  <si>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</si>
  <si>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</si>
  <si>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</si>
  <si>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</si>
  <si>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</si>
  <si>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</si>
  <si>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</si>
  <si>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</si>
  <si>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</si>
  <si>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</si>
  <si>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</si>
  <si>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</si>
  <si>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</si>
  <si>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</si>
  <si>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</si>
  <si>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</si>
  <si>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</si>
  <si>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</si>
  <si>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</si>
  <si>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</si>
  <si>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</si>
  <si>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</si>
  <si>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</si>
  <si>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</si>
  <si>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</si>
  <si>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</si>
  <si>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</si>
  <si>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</si>
  <si>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</si>
  <si>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</si>
  <si>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</si>
  <si>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</si>
  <si>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</si>
  <si>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</si>
  <si>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</si>
  <si>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</si>
  <si>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</si>
  <si>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</si>
  <si>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</si>
  <si>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</si>
  <si>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</si>
  <si>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</si>
  <si>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</si>
  <si>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</si>
  <si>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</si>
  <si>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</si>
  <si>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</si>
  <si>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</si>
  <si>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</si>
  <si>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</si>
  <si>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</si>
  <si>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</si>
  <si>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</si>
  <si>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</si>
  <si>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</si>
  <si>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</si>
  <si>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</si>
  <si>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</si>
  <si>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</si>
  <si>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</si>
  <si>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</si>
  <si>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</si>
  <si>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</si>
  <si>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</si>
  <si>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</si>
  <si>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</si>
  <si>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</si>
  <si>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</si>
  <si>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</si>
  <si>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</si>
  <si>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</si>
  <si>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</si>
  <si>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</si>
  <si>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</si>
  <si>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</si>
  <si>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</si>
  <si>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</si>
  <si>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</si>
  <si>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</si>
  <si>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</si>
  <si>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</si>
  <si>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</si>
  <si>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</si>
  <si>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</si>
  <si>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</si>
  <si>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</si>
  <si>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</si>
  <si>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</si>
  <si>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</si>
  <si>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</si>
  <si>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</si>
  <si>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</si>
  <si>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</si>
  <si>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</si>
  <si>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</si>
  <si>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</si>
  <si>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</si>
  <si>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</si>
  <si>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</si>
  <si>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</si>
  <si>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</si>
  <si>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</si>
  <si>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</si>
  <si>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</si>
  <si>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</si>
  <si>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</si>
  <si>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</si>
  <si>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</si>
  <si>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</si>
  <si>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</si>
  <si>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</si>
  <si>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</si>
  <si>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</si>
  <si>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</si>
  <si>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</si>
  <si>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</si>
  <si>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</si>
  <si>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</si>
  <si>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</si>
  <si>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</si>
  <si>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</si>
  <si>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</si>
  <si>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</si>
  <si>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</si>
  <si>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</si>
  <si>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</si>
  <si>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</si>
  <si>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</si>
  <si>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</si>
  <si>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</si>
  <si>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</si>
  <si>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</si>
  <si>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</si>
  <si>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</si>
  <si>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</si>
  <si>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</si>
  <si>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</si>
  <si>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</si>
  <si>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</si>
  <si>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</si>
  <si>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</si>
  <si>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</si>
  <si>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</si>
  <si>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</si>
  <si>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</si>
  <si>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</si>
  <si>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</si>
  <si>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</si>
  <si>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</si>
  <si>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</si>
  <si>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</si>
  <si>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</si>
  <si>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</si>
  <si>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</si>
  <si>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</si>
  <si>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</si>
  <si>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</si>
  <si>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</si>
  <si>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</si>
  <si>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</si>
  <si>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</si>
  <si>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</si>
  <si>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</si>
  <si>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</si>
  <si>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</si>
  <si>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</si>
  <si>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</si>
  <si>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</si>
  <si>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</si>
  <si>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</si>
  <si>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</si>
  <si>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</si>
  <si>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</si>
  <si>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</si>
  <si>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</si>
  <si>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</si>
  <si>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</si>
  <si>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</si>
  <si>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</si>
  <si>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</si>
  <si>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</si>
  <si>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</si>
  <si>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</si>
  <si>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</si>
  <si>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</si>
  <si>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</si>
  <si>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</si>
  <si>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</si>
  <si>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</si>
  <si>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</si>
  <si>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</si>
  <si>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</si>
  <si>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</si>
  <si>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</si>
  <si>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</si>
  <si>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</si>
  <si>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</si>
  <si>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</si>
  <si>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</si>
  <si>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</si>
  <si>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</si>
  <si>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</si>
  <si>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</si>
  <si>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</si>
  <si>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</si>
  <si>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</si>
  <si>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</si>
  <si>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</si>
  <si>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</si>
  <si>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</si>
  <si>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</si>
  <si>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</si>
  <si>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</si>
  <si>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</si>
  <si>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</si>
  <si>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</si>
  <si>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</si>
  <si>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</si>
  <si>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</si>
  <si>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</si>
  <si>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</si>
  <si>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</si>
  <si>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</si>
  <si>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</si>
  <si>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</si>
  <si>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</si>
  <si>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</si>
  <si>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</si>
  <si>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</si>
  <si>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</si>
  <si>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</si>
  <si>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</si>
  <si>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</si>
  <si>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</si>
  <si>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</si>
  <si>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</si>
  <si>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</si>
  <si>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</si>
  <si>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</si>
  <si>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</si>
  <si>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</si>
  <si>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</si>
  <si>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</si>
  <si>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</si>
  <si>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</si>
  <si>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</si>
  <si>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</si>
  <si>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</si>
  <si>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</si>
  <si>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</si>
  <si>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</si>
  <si>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</si>
  <si>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</si>
  <si>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</si>
  <si>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</si>
  <si>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</si>
  <si>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</si>
  <si>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</si>
  <si>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</si>
  <si>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</si>
  <si>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</si>
  <si>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</si>
  <si>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</si>
  <si>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</si>
  <si>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</si>
  <si>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</si>
  <si>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</si>
  <si>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</si>
  <si>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</si>
  <si>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</si>
  <si>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</si>
  <si>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</si>
  <si>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</si>
  <si>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</si>
  <si>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</si>
  <si>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</si>
  <si>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</si>
  <si>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</si>
  <si>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</si>
  <si>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</si>
  <si>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</si>
  <si>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</si>
  <si>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</si>
  <si>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</si>
  <si>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</si>
  <si>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</si>
  <si>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</si>
  <si>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</si>
  <si>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</si>
  <si>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</si>
  <si>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</si>
  <si>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</si>
  <si>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</si>
  <si>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</si>
  <si>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</si>
  <si>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</si>
  <si>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</si>
  <si>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</si>
  <si>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</si>
  <si>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</si>
  <si>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</si>
  <si>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</si>
  <si>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</si>
  <si>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</si>
  <si>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</si>
  <si>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</si>
  <si>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</si>
  <si>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</si>
  <si>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</si>
  <si>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</si>
  <si>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</si>
  <si>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</si>
  <si>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</si>
  <si>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</si>
  <si>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</si>
  <si>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</si>
  <si>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</si>
  <si>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</si>
  <si>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</si>
  <si>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</si>
  <si>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</si>
  <si>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</si>
  <si>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</si>
  <si>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</si>
  <si>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</si>
  <si>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</si>
  <si>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</si>
  <si>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</si>
  <si>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</si>
  <si>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</si>
  <si>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</si>
  <si>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</si>
  <si>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</si>
  <si>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</si>
  <si>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</si>
  <si>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</si>
  <si>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</si>
  <si>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</si>
  <si>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</si>
  <si>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</si>
  <si>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</si>
  <si>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</si>
  <si>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</si>
  <si>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</si>
  <si>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</si>
  <si>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</si>
  <si>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</si>
  <si>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</si>
  <si>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</si>
  <si>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</si>
  <si>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</si>
  <si>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</si>
  <si>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</si>
  <si>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</si>
  <si>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</si>
  <si>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</si>
  <si>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</si>
  <si>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</si>
  <si>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</si>
  <si>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</si>
  <si>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</si>
  <si>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</si>
  <si>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</si>
  <si>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</si>
  <si>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</si>
  <si>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</si>
  <si>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</si>
  <si>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</si>
  <si>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</si>
  <si>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</si>
  <si>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</si>
  <si>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</si>
  <si>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</si>
  <si>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</si>
  <si>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</si>
  <si>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</si>
  <si>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</si>
  <si>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</si>
  <si>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</si>
  <si>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</si>
  <si>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</si>
  <si>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</si>
  <si>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</si>
  <si>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</si>
  <si>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</si>
  <si>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</si>
  <si>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</si>
  <si>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</si>
  <si>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</si>
  <si>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</si>
  <si>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</si>
  <si>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</si>
  <si>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</si>
  <si>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</si>
  <si>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</si>
  <si>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</si>
  <si>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</si>
  <si>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</si>
  <si>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</si>
  <si>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</si>
  <si>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</si>
  <si>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</si>
  <si>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</si>
  <si>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</si>
  <si>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</si>
  <si>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</si>
  <si>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</si>
  <si>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</si>
  <si>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</si>
  <si>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</si>
  <si>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</si>
  <si>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</si>
  <si>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</si>
  <si>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</si>
  <si>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</si>
  <si>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</si>
  <si>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</si>
  <si>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</si>
  <si>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</si>
  <si>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</si>
  <si>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</si>
  <si>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</si>
  <si>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</si>
  <si>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</si>
  <si>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</si>
  <si>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</si>
  <si>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</si>
  <si>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</si>
  <si>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</si>
  <si>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</si>
  <si>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</si>
  <si>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</si>
  <si>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</si>
  <si>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</si>
  <si>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</si>
  <si>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</si>
  <si>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</si>
  <si>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</si>
  <si>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</si>
  <si>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</si>
  <si>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</si>
  <si>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</si>
  <si>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</si>
  <si>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</si>
  <si>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</si>
  <si>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</si>
  <si>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</si>
  <si>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</si>
  <si>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</si>
  <si>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</si>
  <si>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</si>
  <si>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</si>
  <si>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</si>
  <si>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</si>
  <si>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</si>
  <si>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</si>
  <si>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</si>
  <si>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</si>
  <si>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</si>
  <si>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</si>
  <si>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</si>
  <si>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</si>
  <si>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</si>
  <si>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</si>
  <si>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</si>
  <si>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</si>
  <si>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</si>
  <si>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</si>
  <si>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</si>
  <si>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</si>
  <si>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</si>
  <si>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</si>
  <si>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</si>
  <si>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</si>
  <si>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</si>
  <si>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</si>
  <si>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</si>
  <si>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</si>
  <si>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</si>
  <si>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</si>
  <si>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</si>
  <si>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</si>
  <si>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</si>
  <si>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</si>
  <si>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</si>
  <si>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</si>
  <si>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</si>
  <si>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</si>
  <si>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</si>
  <si>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</si>
  <si>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</si>
  <si>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</si>
  <si>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</si>
  <si>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</si>
  <si>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</si>
  <si>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</si>
  <si>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</si>
  <si>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</si>
  <si>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</si>
  <si>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</si>
  <si>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</si>
  <si>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</si>
  <si>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</si>
  <si>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</si>
  <si>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</si>
  <si>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</si>
  <si>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</si>
  <si>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</si>
  <si>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</si>
  <si>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</si>
  <si>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</si>
  <si>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</si>
  <si>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</si>
  <si>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</si>
  <si>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</si>
  <si>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</si>
  <si>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</si>
  <si>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</si>
  <si>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</si>
  <si>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</si>
  <si>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</si>
  <si>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</si>
  <si>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</si>
  <si>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</si>
  <si>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</si>
  <si>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</si>
  <si>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</si>
  <si>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</si>
  <si>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</si>
  <si>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</si>
  <si>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</si>
  <si>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</si>
  <si>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</si>
  <si>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</si>
  <si>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</si>
  <si>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</si>
  <si>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</si>
  <si>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</si>
  <si>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</si>
  <si>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</si>
  <si>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</si>
  <si>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</si>
  <si>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</si>
  <si>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</si>
  <si>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</si>
  <si>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</si>
  <si>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</si>
  <si>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</si>
  <si>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</si>
  <si>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</si>
  <si>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</si>
  <si>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</si>
  <si>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</si>
  <si>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</si>
  <si>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</si>
  <si>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</si>
  <si>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</si>
  <si>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</si>
  <si>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</si>
  <si>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</si>
  <si>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</si>
  <si>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</si>
  <si>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</si>
  <si>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</si>
  <si>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</si>
  <si>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</si>
  <si>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</si>
  <si>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</si>
  <si>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</si>
  <si>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</si>
  <si>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</si>
  <si>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</si>
  <si>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</si>
  <si>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</si>
  <si>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</si>
  <si>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</si>
  <si>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</si>
  <si>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</si>
  <si>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</si>
  <si>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</si>
  <si>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</si>
  <si>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</si>
  <si>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</si>
  <si>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</si>
  <si>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</si>
  <si>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</si>
  <si>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</si>
  <si>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</si>
  <si>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</si>
  <si>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</si>
  <si>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</si>
  <si>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</si>
  <si>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</si>
  <si>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</si>
  <si>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</si>
  <si>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</si>
  <si>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</si>
  <si>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</si>
  <si>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</si>
  <si>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</si>
  <si>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</si>
  <si>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</si>
  <si>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</si>
  <si>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</si>
  <si>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</si>
  <si>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</si>
  <si>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</si>
  <si>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</si>
  <si>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</si>
  <si>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</si>
  <si>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</si>
  <si>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</si>
  <si>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</si>
  <si>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</si>
  <si>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</si>
  <si>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</si>
  <si>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</si>
  <si>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</si>
  <si>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</si>
  <si>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</si>
  <si>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</si>
  <si>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</si>
  <si>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</si>
  <si>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</si>
  <si>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</si>
  <si>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</si>
  <si>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</si>
  <si>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</si>
  <si>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</si>
  <si>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</si>
  <si>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</si>
  <si>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</si>
  <si>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</si>
  <si>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</si>
  <si>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</si>
  <si>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</si>
  <si>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</si>
  <si>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</si>
  <si>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</si>
  <si>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</si>
  <si>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</si>
  <si>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</si>
  <si>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</si>
  <si>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</si>
  <si>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</si>
  <si>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</si>
  <si>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</si>
  <si>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</si>
  <si>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</si>
  <si>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</si>
  <si>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</si>
  <si>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</si>
  <si>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</si>
  <si>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</si>
  <si>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</si>
  <si>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</si>
  <si>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</si>
  <si>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</si>
  <si>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</si>
  <si>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</si>
  <si>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</si>
  <si>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</si>
  <si>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</si>
  <si>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</si>
  <si>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</si>
  <si>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</si>
  <si>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</si>
  <si>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</si>
  <si>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</si>
  <si>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</si>
  <si>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</si>
  <si>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</si>
  <si>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</si>
  <si>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</si>
  <si>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</si>
  <si>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</si>
  <si>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</si>
  <si>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</si>
  <si>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</si>
  <si>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</si>
  <si>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</si>
  <si>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</si>
  <si>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</si>
  <si>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</si>
  <si>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</si>
  <si>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</si>
  <si>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</si>
  <si>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</si>
  <si>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</si>
  <si>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</si>
  <si>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</si>
  <si>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</si>
  <si>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</si>
  <si>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</si>
  <si>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</si>
  <si>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</si>
  <si>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</si>
  <si>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</si>
  <si>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</si>
  <si>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</si>
  <si>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</si>
  <si>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</si>
  <si>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</si>
  <si>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</si>
  <si>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</si>
  <si>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</si>
  <si>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</si>
  <si>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</si>
  <si>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</si>
  <si>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</si>
  <si>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</si>
  <si>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</si>
  <si>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</si>
  <si>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</si>
  <si>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</si>
  <si>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</si>
  <si>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</si>
  <si>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</si>
  <si>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</si>
  <si>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</si>
  <si>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</si>
  <si>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</si>
  <si>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</si>
  <si>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</si>
  <si>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</si>
  <si>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</si>
  <si>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</si>
  <si>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</si>
  <si>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</si>
  <si>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</si>
  <si>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</si>
  <si>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</si>
  <si>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</si>
  <si>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</si>
  <si>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</si>
  <si>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</si>
  <si>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</si>
  <si>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</si>
  <si>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</si>
  <si>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</si>
  <si>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</si>
  <si>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</si>
  <si>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</si>
  <si>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</si>
  <si>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</si>
  <si>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</si>
  <si>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</si>
  <si>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</si>
  <si>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</si>
  <si>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</si>
  <si>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</si>
  <si>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</si>
  <si>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</si>
  <si>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</si>
  <si>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</si>
  <si>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</si>
  <si>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</si>
  <si>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</si>
  <si>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</si>
  <si>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</si>
  <si>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</si>
  <si>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</si>
  <si>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</si>
  <si>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</si>
  <si>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</si>
  <si>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</si>
  <si>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</si>
  <si>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</si>
  <si>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</si>
  <si>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</si>
  <si>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</si>
  <si>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</si>
  <si>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</si>
  <si>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</si>
  <si>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</si>
  <si>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</si>
  <si>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</si>
  <si>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</si>
  <si>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</si>
  <si>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</si>
  <si>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</si>
  <si>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</si>
  <si>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</si>
  <si>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</si>
  <si>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</si>
  <si>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</si>
  <si>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</si>
  <si>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</si>
  <si>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</si>
  <si>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</si>
  <si>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</si>
  <si>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</si>
  <si>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</si>
  <si>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</si>
  <si>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</si>
  <si>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</si>
  <si>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</si>
  <si>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</si>
  <si>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</si>
  <si>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</si>
  <si>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</si>
  <si>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</si>
  <si>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</si>
  <si>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</si>
  <si>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</si>
  <si>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</si>
  <si>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</si>
  <si>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</si>
  <si>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</si>
  <si>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</si>
  <si>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</si>
  <si>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</si>
  <si>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</si>
  <si>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</si>
  <si>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</si>
  <si>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</si>
  <si>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</si>
  <si>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</si>
  <si>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</si>
  <si>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</si>
  <si>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</si>
  <si>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</si>
  <si>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</si>
  <si>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</si>
  <si>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</si>
  <si>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</si>
  <si>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</si>
  <si>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</si>
  <si>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</si>
  <si>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</si>
  <si>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</si>
  <si>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</si>
  <si>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</si>
  <si>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</si>
  <si>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</si>
  <si>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</si>
  <si>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</si>
  <si>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</si>
  <si>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</si>
  <si>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</si>
  <si>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</si>
  <si>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</si>
  <si>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</si>
  <si>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</si>
  <si>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</si>
  <si>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</si>
  <si>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</si>
  <si>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</si>
  <si>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</si>
  <si>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</si>
  <si>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</si>
  <si>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</si>
  <si>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</si>
  <si>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</si>
  <si>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</si>
  <si>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</si>
  <si>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</si>
  <si>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</si>
  <si>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</si>
  <si>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</si>
  <si>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</si>
  <si>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</si>
  <si>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</si>
  <si>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</si>
  <si>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</si>
  <si>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</si>
  <si>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</si>
  <si>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</si>
  <si>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</si>
  <si>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</si>
  <si>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</si>
  <si>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</si>
  <si>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</si>
  <si>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</si>
  <si>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</si>
  <si>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</si>
  <si>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</si>
  <si>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</si>
  <si>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</si>
  <si>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</si>
  <si>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</si>
  <si>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</si>
  <si>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</si>
  <si>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</si>
  <si>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</si>
  <si>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</si>
  <si>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</si>
  <si>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</si>
  <si>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</si>
  <si>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</si>
  <si>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</si>
  <si>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</si>
  <si>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</si>
  <si>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</si>
  <si>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</si>
  <si>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</si>
  <si>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</si>
  <si>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</si>
  <si>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</si>
  <si>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</si>
  <si>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</si>
  <si>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</si>
  <si>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</si>
  <si>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</si>
  <si>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</si>
  <si>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</si>
  <si>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</si>
  <si>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</si>
  <si>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</si>
  <si>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</si>
  <si>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</si>
  <si>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</si>
  <si>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</si>
  <si>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</si>
  <si>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</si>
  <si>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</si>
  <si>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</si>
  <si>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</si>
  <si>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</si>
  <si>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</si>
  <si>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</si>
  <si>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</si>
  <si>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</si>
  <si>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</si>
  <si>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</si>
  <si>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</si>
  <si>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</si>
  <si>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</si>
  <si>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</si>
  <si>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</si>
  <si>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</si>
  <si>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</si>
  <si>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</si>
  <si>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</si>
  <si>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</si>
  <si>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</si>
  <si>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</si>
  <si>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</si>
  <si>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</si>
  <si>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</si>
  <si>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</si>
  <si>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</si>
  <si>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</si>
  <si>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</si>
  <si>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</si>
  <si>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</si>
  <si>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</si>
  <si>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</si>
  <si>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</si>
  <si>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</si>
  <si>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</si>
  <si>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</si>
  <si>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</si>
  <si>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</si>
  <si>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</si>
  <si>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</si>
  <si>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</si>
  <si>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</si>
  <si>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</si>
  <si>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</si>
  <si>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</si>
  <si>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</si>
  <si>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</si>
  <si>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</si>
  <si>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</si>
  <si>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</si>
  <si>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</si>
  <si>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</si>
  <si>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</si>
  <si>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</si>
  <si>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</si>
  <si>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</si>
  <si>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</si>
  <si>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</si>
  <si>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</si>
  <si>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</si>
  <si>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</si>
  <si>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</si>
  <si>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</si>
  <si>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</si>
  <si>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</si>
  <si>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</si>
  <si>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</si>
  <si>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</si>
  <si>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</si>
  <si>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</si>
  <si>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</si>
  <si>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</si>
  <si>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</si>
  <si>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</si>
  <si>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</si>
  <si>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</si>
  <si>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</si>
  <si>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</si>
  <si>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</si>
  <si>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</si>
  <si>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</si>
  <si>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</si>
  <si>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</si>
  <si>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</si>
  <si>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</si>
  <si>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</si>
  <si>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</si>
  <si>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</si>
  <si>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</si>
  <si>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</si>
  <si>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</si>
  <si>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</si>
  <si>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</si>
  <si>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</si>
  <si>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</si>
  <si>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</si>
  <si>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</si>
  <si>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</si>
  <si>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</si>
  <si>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</si>
  <si>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</si>
  <si>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</si>
  <si>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</si>
  <si>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</si>
  <si>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</si>
  <si>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</si>
  <si>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</si>
  <si>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</si>
  <si>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</si>
  <si>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</si>
  <si>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</si>
  <si>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</si>
  <si>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</si>
  <si>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</si>
  <si>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</si>
  <si>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</si>
  <si>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</si>
  <si>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</si>
  <si>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</si>
  <si>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</si>
  <si>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</si>
  <si>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</si>
  <si>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</si>
  <si>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</si>
  <si>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</si>
  <si>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</si>
  <si>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</si>
  <si>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</si>
  <si>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</si>
  <si>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</si>
  <si>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</si>
  <si>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</si>
  <si>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</si>
  <si>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</si>
  <si>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</si>
  <si>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</si>
  <si>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</si>
  <si>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</si>
  <si>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</si>
  <si>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</si>
  <si>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</si>
  <si>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</si>
  <si>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</si>
  <si>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</si>
  <si>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</si>
  <si>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</si>
  <si>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</si>
  <si>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</si>
  <si>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</si>
  <si>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</si>
  <si>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</si>
  <si>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</si>
  <si>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</si>
  <si>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</si>
  <si>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</si>
  <si>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</si>
  <si>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</si>
  <si>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</si>
  <si>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</si>
  <si>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</si>
  <si>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</si>
  <si>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</si>
  <si>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</si>
  <si>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</si>
  <si>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</si>
  <si>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</si>
  <si>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</si>
  <si>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</si>
  <si>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</si>
  <si>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</si>
  <si>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</si>
  <si>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</si>
  <si>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</si>
  <si>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</si>
  <si>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</si>
  <si>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</si>
  <si>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</si>
  <si>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</si>
  <si>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</si>
  <si>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</si>
  <si>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</si>
  <si>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</si>
  <si>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</si>
  <si>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</si>
  <si>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</si>
  <si>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</si>
  <si>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</si>
  <si>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</si>
  <si>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</si>
  <si>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</si>
  <si>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</si>
  <si>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</si>
  <si>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</si>
  <si>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</si>
  <si>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</si>
  <si>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</si>
  <si>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</si>
  <si>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</si>
  <si>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</si>
  <si>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</si>
  <si>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</si>
  <si>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</si>
  <si>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</si>
  <si>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</si>
  <si>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</si>
  <si>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</si>
  <si>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</si>
  <si>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</si>
  <si>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</si>
  <si>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</si>
  <si>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</si>
  <si>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</si>
  <si>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</si>
  <si>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</si>
  <si>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</si>
  <si>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</si>
  <si>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</si>
  <si>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</si>
  <si>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</si>
  <si>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</si>
  <si>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</si>
  <si>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</si>
  <si>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</si>
  <si>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</si>
  <si>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</si>
  <si>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</si>
  <si>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</si>
  <si>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</si>
  <si>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</si>
  <si>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</si>
  <si>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</si>
  <si>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</si>
  <si>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</si>
  <si>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</si>
  <si>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</si>
  <si>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</si>
  <si>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</si>
  <si>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</si>
  <si>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</si>
  <si>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</si>
  <si>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</si>
  <si>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</si>
  <si>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</si>
  <si>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</si>
  <si>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</si>
  <si>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</si>
  <si>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</si>
  <si>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</si>
  <si>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</si>
  <si>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</si>
  <si>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</si>
  <si>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</si>
  <si>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</si>
  <si>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</si>
  <si>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</si>
  <si>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</si>
  <si>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</si>
  <si>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</si>
  <si>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</si>
  <si>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</si>
  <si>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</si>
  <si>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</si>
  <si>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</si>
  <si>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</si>
  <si>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</si>
  <si>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</si>
  <si>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</si>
  <si>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</si>
  <si>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</si>
  <si>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</si>
  <si>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</si>
  <si>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</si>
  <si>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</si>
  <si>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</si>
  <si>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</si>
  <si>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</si>
  <si>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</si>
  <si>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</si>
  <si>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</si>
  <si>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</si>
  <si>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</si>
  <si>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</si>
  <si>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</si>
  <si>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</si>
  <si>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</si>
  <si>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</si>
  <si>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</si>
  <si>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</si>
  <si>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</si>
  <si>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</si>
  <si>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</si>
  <si>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</si>
  <si>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</si>
  <si>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</si>
  <si>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</si>
  <si>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</si>
  <si>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</si>
  <si>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</si>
  <si>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</si>
  <si>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</si>
  <si>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</si>
  <si>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</si>
  <si>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</si>
  <si>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</si>
  <si>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</si>
  <si>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</si>
  <si>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</si>
  <si>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</si>
  <si>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</si>
  <si>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</si>
  <si>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</si>
  <si>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</si>
  <si>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</si>
  <si>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</si>
  <si>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</si>
  <si>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</si>
  <si>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</si>
  <si>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</si>
  <si>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</si>
  <si>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</si>
  <si>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</si>
  <si>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</si>
  <si>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</si>
  <si>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</si>
  <si>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</si>
  <si>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</si>
  <si>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</si>
  <si>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</si>
  <si>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</si>
  <si>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</si>
  <si>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</si>
  <si>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</si>
  <si>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</si>
  <si>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</si>
  <si>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</si>
  <si>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</si>
  <si>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</si>
  <si>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</si>
  <si>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</si>
  <si>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</si>
  <si>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</si>
  <si>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</si>
  <si>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</si>
  <si>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</si>
  <si>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</si>
  <si>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</si>
  <si>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</si>
  <si>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</si>
  <si>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</si>
  <si>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</si>
  <si>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</si>
  <si>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</si>
  <si>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</si>
  <si>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</si>
  <si>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</si>
  <si>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</si>
  <si>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</si>
  <si>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</si>
  <si>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</si>
  <si>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</si>
  <si>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</si>
  <si>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</si>
  <si>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</si>
  <si>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</si>
  <si>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</si>
  <si>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</si>
  <si>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</si>
  <si>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</si>
  <si>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</si>
  <si>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</si>
  <si>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</si>
  <si>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</si>
  <si>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</si>
  <si>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</si>
  <si>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</si>
  <si>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</si>
  <si>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</si>
  <si>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</si>
  <si>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</si>
  <si>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</si>
  <si>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</si>
  <si>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</si>
  <si>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</si>
  <si>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</si>
  <si>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</si>
  <si>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</si>
  <si>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</si>
  <si>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</si>
  <si>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</si>
  <si>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</si>
  <si>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</si>
  <si>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</si>
  <si>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</si>
  <si>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</si>
  <si>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</si>
  <si>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</si>
  <si>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</si>
  <si>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</si>
  <si>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</si>
  <si>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</si>
  <si>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</si>
  <si>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</si>
  <si>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</si>
  <si>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</si>
  <si>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</si>
  <si>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</si>
  <si>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</si>
  <si>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</si>
  <si>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</si>
  <si>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</si>
  <si>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</si>
  <si>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</si>
  <si>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</si>
  <si>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</si>
  <si>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</si>
  <si>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</si>
  <si>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</si>
  <si>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</si>
  <si>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</si>
  <si>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</si>
  <si>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</si>
  <si>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</si>
  <si>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</si>
  <si>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</si>
  <si>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</si>
  <si>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</si>
  <si>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</si>
  <si>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</si>
  <si>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</si>
  <si>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</si>
  <si>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</si>
  <si>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</si>
  <si>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</si>
  <si>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</si>
  <si>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</si>
  <si>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</si>
  <si>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</si>
  <si>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</si>
  <si>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</si>
  <si>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</si>
  <si>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</si>
  <si>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</si>
  <si>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</si>
  <si>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</si>
  <si>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</si>
  <si>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</si>
  <si>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</si>
  <si>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</si>
  <si>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</si>
  <si>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</si>
  <si>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</si>
  <si>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</si>
  <si>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</si>
  <si>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</si>
  <si>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</si>
  <si>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</si>
  <si>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</si>
  <si>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</si>
  <si>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</si>
  <si>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</si>
  <si>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</si>
  <si>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</si>
  <si>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</si>
  <si>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</si>
  <si>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</si>
  <si>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</si>
  <si>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</si>
  <si>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</si>
  <si>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</si>
  <si>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</si>
  <si>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</si>
  <si>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</si>
  <si>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</si>
  <si>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</si>
  <si>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</si>
  <si>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</si>
  <si>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</si>
  <si>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</si>
  <si>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</si>
  <si>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</si>
  <si>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</si>
  <si>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</si>
  <si>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</si>
  <si>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</si>
  <si>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</si>
  <si>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</si>
  <si>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</si>
  <si>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</si>
  <si>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</si>
  <si>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</si>
  <si>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</si>
  <si>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</si>
  <si>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</si>
  <si>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</si>
  <si>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</si>
  <si>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</si>
  <si>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</si>
  <si>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</si>
  <si>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</si>
  <si>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</si>
  <si>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</si>
  <si>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</si>
  <si>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</si>
  <si>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</si>
  <si>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</si>
  <si>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</si>
  <si>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</si>
  <si>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</si>
  <si>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</si>
  <si>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</si>
  <si>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</si>
  <si>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</si>
  <si>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</si>
  <si>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</si>
  <si>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</si>
  <si>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</si>
  <si>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</si>
  <si>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</si>
  <si>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</si>
  <si>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</si>
  <si>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</si>
  <si>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</si>
  <si>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</si>
  <si>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</si>
  <si>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</si>
  <si>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</si>
  <si>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</si>
  <si>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</si>
  <si>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</si>
  <si>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</si>
  <si>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</si>
  <si>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</si>
  <si>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</si>
  <si>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</si>
  <si>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</si>
  <si>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</si>
  <si>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</si>
  <si>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</si>
  <si>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</si>
  <si>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</si>
  <si>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</si>
  <si>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</si>
  <si>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</si>
  <si>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</si>
  <si>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</si>
  <si>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</si>
  <si>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</si>
  <si>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</si>
  <si>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</si>
  <si>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</si>
  <si>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</si>
  <si>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</si>
  <si>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</si>
  <si>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</si>
  <si>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</si>
  <si>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</si>
  <si>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</si>
  <si>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</si>
  <si>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</si>
  <si>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</si>
  <si>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</si>
  <si>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</si>
  <si>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</si>
  <si>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</si>
  <si>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</si>
  <si>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</si>
  <si>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</si>
  <si>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</si>
  <si>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</si>
  <si>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</si>
  <si>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</si>
  <si>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</si>
  <si>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</si>
  <si>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</si>
  <si>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</si>
  <si>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</si>
  <si>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</si>
  <si>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</si>
  <si>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</si>
  <si>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</si>
  <si>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</si>
  <si>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</si>
  <si>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</si>
  <si>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</si>
  <si>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</si>
  <si>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</si>
  <si>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</si>
  <si>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</si>
  <si>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</si>
  <si>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</si>
  <si>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</si>
  <si>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</si>
  <si>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</si>
  <si>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</si>
  <si>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</si>
  <si>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</si>
  <si>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</si>
  <si>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</si>
  <si>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</si>
  <si>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</si>
  <si>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</si>
  <si>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</si>
  <si>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</si>
  <si>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</si>
  <si>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</si>
  <si>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</si>
  <si>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</si>
  <si>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</si>
  <si>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</si>
  <si>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</si>
  <si>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</si>
  <si>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</si>
  <si>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</si>
  <si>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</si>
  <si>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</si>
  <si>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</si>
  <si>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</si>
  <si>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</si>
  <si>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</si>
  <si>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</si>
  <si>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</si>
  <si>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</si>
  <si>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</si>
  <si>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</si>
  <si>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</si>
  <si>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</si>
  <si>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</si>
  <si>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</si>
  <si>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</si>
  <si>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</si>
  <si>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</si>
  <si>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</si>
  <si>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</si>
  <si>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</si>
  <si>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</si>
  <si>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</si>
  <si>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</si>
  <si>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</si>
  <si>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</si>
  <si>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</si>
  <si>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</si>
  <si>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</si>
  <si>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</si>
  <si>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</si>
  <si>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</si>
  <si>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</si>
  <si>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</si>
  <si>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</si>
  <si>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</si>
  <si>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</si>
  <si>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</si>
  <si>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</si>
  <si>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</si>
  <si>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</si>
  <si>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</si>
  <si>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</si>
  <si>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</si>
  <si>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</si>
  <si>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</si>
  <si>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</si>
  <si>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</si>
  <si>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</si>
  <si>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</si>
  <si>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</si>
  <si>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</si>
  <si>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</si>
  <si>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</si>
  <si>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</si>
  <si>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</si>
  <si>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</si>
  <si>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</si>
  <si>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</si>
  <si>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</si>
  <si>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</si>
  <si>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</si>
  <si>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</si>
  <si>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</si>
  <si>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</si>
  <si>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</si>
  <si>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</si>
  <si>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</si>
  <si>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</si>
  <si>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</si>
  <si>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</si>
  <si>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</si>
  <si>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</si>
  <si>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</si>
  <si>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</si>
  <si>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</si>
  <si>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</si>
  <si>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</si>
  <si>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</si>
  <si>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</si>
  <si>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</si>
  <si>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</si>
  <si>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</si>
  <si>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</si>
  <si>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</si>
  <si>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</si>
  <si>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</si>
  <si>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</si>
  <si>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</si>
  <si>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</si>
  <si>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</si>
  <si>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</si>
  <si>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</si>
  <si>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</si>
  <si>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</si>
  <si>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</si>
  <si>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</si>
  <si>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</si>
  <si>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</si>
  <si>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</si>
  <si>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</si>
  <si>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</si>
  <si>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</si>
  <si>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</si>
  <si>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</si>
  <si>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</si>
  <si>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</si>
  <si>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</si>
  <si>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</si>
  <si>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</si>
  <si>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</si>
  <si>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</si>
  <si>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</si>
  <si>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</si>
  <si>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</si>
  <si>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</si>
  <si>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</si>
  <si>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</si>
  <si>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</si>
  <si>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</si>
  <si>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</si>
  <si>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</si>
  <si>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</si>
  <si>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</si>
  <si>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</si>
  <si>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</si>
  <si>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</si>
  <si>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</si>
  <si>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</si>
  <si>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</si>
  <si>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</si>
  <si>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</si>
  <si>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</si>
  <si>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</si>
  <si>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</si>
  <si>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</si>
  <si>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</si>
  <si>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</si>
  <si>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</si>
  <si>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</si>
  <si>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</si>
  <si>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</si>
  <si>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</si>
  <si>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</si>
  <si>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</si>
  <si>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</si>
  <si>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</si>
  <si>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</si>
  <si>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</si>
  <si>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</si>
  <si>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</si>
  <si>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</si>
  <si>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</si>
  <si>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</si>
  <si>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</si>
  <si>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</si>
  <si>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</si>
  <si>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</si>
  <si>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</si>
  <si>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</si>
  <si>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</si>
  <si>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</si>
  <si>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</si>
  <si>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</si>
  <si>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</si>
  <si>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</si>
  <si>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</si>
  <si>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</si>
  <si>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</si>
  <si>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</si>
  <si>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</si>
  <si>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</si>
  <si>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</si>
  <si>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</si>
  <si>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</si>
  <si>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</si>
  <si>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</si>
  <si>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</si>
  <si>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</si>
  <si>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</si>
  <si>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</si>
  <si>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</si>
  <si>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</si>
  <si>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</si>
  <si>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</si>
  <si>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</si>
  <si>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</si>
  <si>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</si>
  <si>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</si>
  <si>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</si>
  <si>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</si>
  <si>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</si>
  <si>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</si>
  <si>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</si>
  <si>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</si>
  <si>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</si>
  <si>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</si>
  <si>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</si>
  <si>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</si>
  <si>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</si>
  <si>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</si>
  <si>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</si>
  <si>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</si>
  <si>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</si>
  <si>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</si>
  <si>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</si>
  <si>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</si>
  <si>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</si>
  <si>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</si>
  <si>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</si>
  <si>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</si>
  <si>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</si>
  <si>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</si>
  <si>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</si>
  <si>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</si>
  <si>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</si>
  <si>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</si>
  <si>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</si>
  <si>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</si>
  <si>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</si>
  <si>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</si>
  <si>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</si>
  <si>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</si>
  <si>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</si>
  <si>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</si>
  <si>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</si>
  <si>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</si>
  <si>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</si>
  <si>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</si>
  <si>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</si>
  <si>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</si>
  <si>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</si>
  <si>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</si>
  <si>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</si>
  <si>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</si>
  <si>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</si>
  <si>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</si>
  <si>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</si>
  <si>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</si>
  <si>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</si>
  <si>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</si>
  <si>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</si>
  <si>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</si>
  <si>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</si>
  <si>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</si>
  <si>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</si>
  <si>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</si>
  <si>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</si>
  <si>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</si>
  <si>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</si>
  <si>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</si>
  <si>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</si>
  <si>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</si>
  <si>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</si>
  <si>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</si>
  <si>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</si>
  <si>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</si>
  <si>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</si>
  <si>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</si>
  <si>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</si>
  <si>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</si>
  <si>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</si>
  <si>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</si>
  <si>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</si>
  <si>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</si>
  <si>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</si>
  <si>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</si>
  <si>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</si>
  <si>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</si>
  <si>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</si>
  <si>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</si>
  <si>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</si>
  <si>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</si>
  <si>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</si>
  <si>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</si>
  <si>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</si>
  <si>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</si>
  <si>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</si>
  <si>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</si>
  <si>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</si>
  <si>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</si>
  <si>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</si>
  <si>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</si>
  <si>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</si>
  <si>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</si>
  <si>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</si>
  <si>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</si>
  <si>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</si>
  <si>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</si>
  <si>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</si>
  <si>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</si>
  <si>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</si>
  <si>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</si>
  <si>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</si>
  <si>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</si>
  <si>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</si>
  <si>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</si>
  <si>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</si>
  <si>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</si>
  <si>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</si>
  <si>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</si>
  <si>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</si>
  <si>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</si>
  <si>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</si>
  <si>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</si>
  <si>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</si>
  <si>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</si>
  <si>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</si>
  <si>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</si>
  <si>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</si>
  <si>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</si>
  <si>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</si>
  <si>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</si>
  <si>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</si>
  <si>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</si>
  <si>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</si>
  <si>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</si>
  <si>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</si>
  <si>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</si>
  <si>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</si>
  <si>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</si>
  <si>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</si>
  <si>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</si>
  <si>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</si>
  <si>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</si>
  <si>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</si>
  <si>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</si>
  <si>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</si>
  <si>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</si>
  <si>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</si>
  <si>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</si>
  <si>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</si>
  <si>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</si>
  <si>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</si>
  <si>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</si>
  <si>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</si>
  <si>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</si>
  <si>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</si>
  <si>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</si>
  <si>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</si>
  <si>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</si>
  <si>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</si>
  <si>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</si>
  <si>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</si>
  <si>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</si>
  <si>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</si>
  <si>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</si>
  <si>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</si>
  <si>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</si>
  <si>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</si>
  <si>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</si>
  <si>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</si>
  <si>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</si>
  <si>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</si>
  <si>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</si>
  <si>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</si>
  <si>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</si>
  <si>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</si>
  <si>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</si>
  <si>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</si>
  <si>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</si>
  <si>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</si>
  <si>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</si>
  <si>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</si>
  <si>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</si>
  <si>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</si>
  <si>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</si>
  <si>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</si>
  <si>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</si>
  <si>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</si>
  <si>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</si>
  <si>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</si>
  <si>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</si>
  <si>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</si>
  <si>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</si>
  <si>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</si>
  <si>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</si>
  <si>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</si>
  <si>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</si>
  <si>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</si>
  <si>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</si>
  <si>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</si>
  <si>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</si>
  <si>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</si>
  <si>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</si>
  <si>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</si>
  <si>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</si>
  <si>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</si>
  <si>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</si>
  <si>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</si>
  <si>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</si>
  <si>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</si>
  <si>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</si>
  <si>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</si>
  <si>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</si>
  <si>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</si>
  <si>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</si>
  <si>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</si>
  <si>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</si>
  <si>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</si>
  <si>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</si>
  <si>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</si>
  <si>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</si>
  <si>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</si>
  <si>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</si>
  <si>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</si>
  <si>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</si>
  <si>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</si>
  <si>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</si>
  <si>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</si>
  <si>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</si>
  <si>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</si>
  <si>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</si>
  <si>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</si>
  <si>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</si>
  <si>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</si>
  <si>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</si>
  <si>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</si>
  <si>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</si>
  <si>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</si>
  <si>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</si>
  <si>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</si>
  <si>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</si>
  <si>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</si>
  <si>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</si>
  <si>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</si>
  <si>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</si>
  <si>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</si>
  <si>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</si>
  <si>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</si>
  <si>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</si>
  <si>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</si>
  <si>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</si>
  <si>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</si>
  <si>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</si>
  <si>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</si>
  <si>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</si>
  <si>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</si>
  <si>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</si>
  <si>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</si>
  <si>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</si>
  <si>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</si>
  <si>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</si>
  <si>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</si>
  <si>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</si>
  <si>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</si>
  <si>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</si>
  <si>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</si>
  <si>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</si>
  <si>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</si>
  <si>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</si>
  <si>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</si>
  <si>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</si>
  <si>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</si>
  <si>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</si>
  <si>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</si>
  <si>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</si>
  <si>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</si>
  <si>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</si>
  <si>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</si>
  <si>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</si>
  <si>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</si>
  <si>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</si>
  <si>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</si>
  <si>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</si>
  <si>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</si>
  <si>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</si>
  <si>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</si>
  <si>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</si>
  <si>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</si>
  <si>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</si>
  <si>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</si>
  <si>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</si>
  <si>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</si>
  <si>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</si>
  <si>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</si>
  <si>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</si>
  <si>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</si>
  <si>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</si>
  <si>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</si>
  <si>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</si>
  <si>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</si>
  <si>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</si>
  <si>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</si>
  <si>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</si>
  <si>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</si>
  <si>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</si>
  <si>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</si>
  <si>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</si>
  <si>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</si>
  <si>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</si>
  <si>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</si>
  <si>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</si>
  <si>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</si>
  <si>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</si>
  <si>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</si>
  <si>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</si>
  <si>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</si>
  <si>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</si>
  <si>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</si>
  <si>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</si>
  <si>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</si>
  <si>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</si>
  <si>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</si>
  <si>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</si>
  <si>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</si>
  <si>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</si>
  <si>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</si>
  <si>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</si>
  <si>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</si>
  <si>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</si>
  <si>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</si>
  <si>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</si>
  <si>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</si>
  <si>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</si>
  <si>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</si>
  <si>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</si>
  <si>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</si>
  <si>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</si>
  <si>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</si>
  <si>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</si>
  <si>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</si>
  <si>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</si>
  <si>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</si>
  <si>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</si>
  <si>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</si>
  <si>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</si>
  <si>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</si>
  <si>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</si>
  <si>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</si>
  <si>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</si>
  <si>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</si>
  <si>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</si>
  <si>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</si>
  <si>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</si>
  <si>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</si>
  <si>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</si>
  <si>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</si>
  <si>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</si>
  <si>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</si>
  <si>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</si>
  <si>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</si>
  <si>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</si>
  <si>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</si>
  <si>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</si>
  <si>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</si>
  <si>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</si>
  <si>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</si>
  <si>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</si>
  <si>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</si>
  <si>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</si>
  <si>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</si>
  <si>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</si>
  <si>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</si>
  <si>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</si>
  <si>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</si>
  <si>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</si>
  <si>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</si>
  <si>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</si>
  <si>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</si>
  <si>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</si>
  <si>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</si>
  <si>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</si>
  <si>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</si>
  <si>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</si>
  <si>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</si>
  <si>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</si>
  <si>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</si>
  <si>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</si>
  <si>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</si>
  <si>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</si>
  <si>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</si>
  <si>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</si>
  <si>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</si>
  <si>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</si>
  <si>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</si>
  <si>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</si>
  <si>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</si>
  <si>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</si>
  <si>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</si>
  <si>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</si>
  <si>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</si>
  <si>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</si>
  <si>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</si>
  <si>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</si>
  <si>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</si>
  <si>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</si>
  <si>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</si>
  <si>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</si>
  <si>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</si>
  <si>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</si>
  <si>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</si>
  <si>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</si>
  <si>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</si>
  <si>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</si>
  <si>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</si>
  <si>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</si>
  <si>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</si>
  <si>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</si>
  <si>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</si>
  <si>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</si>
  <si>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</si>
  <si>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</si>
  <si>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</si>
  <si>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</si>
  <si>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</si>
  <si>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</si>
  <si>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</si>
  <si>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</si>
  <si>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</si>
  <si>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</si>
  <si>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</si>
  <si>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</si>
  <si>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</si>
  <si>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</si>
  <si>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</si>
  <si>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</si>
  <si>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</si>
  <si>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</si>
  <si>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</si>
  <si>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</si>
  <si>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</si>
  <si>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</si>
  <si>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</si>
  <si>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</si>
  <si>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</si>
  <si>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</si>
  <si>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</si>
  <si>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</si>
  <si>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</si>
  <si>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</si>
  <si>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</si>
  <si>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</si>
  <si>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</si>
  <si>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</si>
  <si>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</si>
  <si>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</si>
  <si>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</si>
  <si>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</si>
  <si>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</si>
  <si>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</si>
  <si>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</si>
  <si>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</si>
  <si>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</si>
  <si>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</si>
  <si>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</si>
  <si>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</si>
  <si>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</si>
  <si>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</si>
  <si>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</si>
  <si>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</si>
  <si>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</si>
  <si>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</si>
  <si>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</si>
  <si>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</si>
  <si>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</si>
  <si>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</si>
  <si>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</si>
  <si>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</si>
  <si>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</si>
  <si>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</si>
  <si>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</si>
  <si>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</si>
  <si>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</si>
  <si>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</si>
  <si>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</si>
  <si>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</si>
  <si>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</si>
  <si>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</si>
  <si>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</si>
  <si>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</si>
  <si>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</si>
  <si>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</si>
  <si>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</si>
  <si>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</si>
  <si>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</si>
  <si>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</si>
  <si>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</si>
  <si>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</si>
  <si>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</si>
  <si>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</si>
  <si>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</si>
  <si>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</si>
  <si>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</si>
  <si>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</si>
  <si>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</si>
  <si>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</si>
  <si>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</si>
  <si>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</si>
  <si>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</si>
  <si>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</si>
  <si>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</si>
  <si>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</si>
  <si>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</si>
  <si>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</si>
  <si>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</si>
  <si>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</si>
  <si>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</si>
  <si>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</si>
  <si>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</si>
  <si>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</si>
  <si>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</si>
  <si>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</si>
  <si>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</si>
  <si>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</si>
  <si>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</si>
  <si>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</si>
  <si>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</si>
  <si>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</si>
  <si>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</si>
  <si>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</si>
  <si>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</si>
  <si>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</si>
  <si>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</si>
  <si>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</si>
  <si>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</si>
  <si>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</si>
  <si>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</si>
  <si>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</si>
  <si>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</si>
  <si>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</si>
  <si>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</si>
  <si>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</si>
  <si>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</si>
  <si>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</si>
  <si>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</si>
  <si>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</si>
  <si>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</si>
  <si>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</si>
  <si>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</si>
  <si>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</si>
  <si>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</si>
  <si>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</si>
  <si>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</si>
  <si>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</si>
  <si>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</si>
  <si>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</si>
  <si>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</si>
  <si>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</si>
  <si>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</si>
  <si>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</si>
  <si>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</si>
  <si>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</si>
  <si>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</si>
  <si>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</si>
  <si>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</si>
  <si>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</si>
  <si>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</si>
  <si>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</si>
  <si>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</si>
  <si>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</si>
  <si>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</si>
  <si>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</si>
  <si>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</si>
  <si>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</si>
  <si>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</si>
  <si>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</si>
  <si>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</si>
  <si>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</si>
  <si>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</si>
  <si>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</si>
  <si>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</si>
  <si>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</si>
  <si>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</si>
  <si>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</si>
  <si>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</si>
  <si>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</si>
  <si>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</si>
  <si>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</si>
  <si>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</si>
  <si>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</si>
  <si>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</si>
  <si>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</si>
  <si>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</si>
  <si>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</si>
  <si>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</si>
  <si>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</si>
  <si>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</si>
  <si>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</si>
  <si>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</si>
  <si>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</si>
  <si>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</si>
  <si>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</si>
  <si>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</si>
  <si>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</si>
  <si>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</si>
  <si>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</si>
  <si>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</si>
  <si>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</si>
  <si>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</si>
  <si>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</si>
  <si>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</si>
  <si>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</si>
  <si>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</si>
  <si>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</si>
  <si>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</si>
  <si>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</si>
  <si>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</si>
  <si>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</si>
  <si>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</si>
  <si>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</si>
  <si>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</si>
  <si>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</si>
  <si>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</si>
  <si>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</si>
  <si>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</si>
  <si>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</si>
  <si>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</si>
  <si>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</si>
  <si>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</si>
  <si>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</si>
  <si>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</si>
  <si>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</si>
  <si>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</si>
  <si>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</si>
  <si>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</si>
  <si>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</si>
  <si>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</si>
  <si>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</si>
  <si>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</si>
  <si>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</si>
  <si>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</si>
  <si>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</si>
  <si>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</si>
  <si>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</si>
  <si>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</si>
  <si>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</si>
  <si>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</si>
  <si>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</si>
  <si>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</si>
  <si>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</si>
  <si>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</si>
  <si>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</si>
  <si>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</si>
  <si>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</si>
  <si>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</si>
  <si>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</si>
  <si>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</si>
  <si>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</si>
  <si>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</si>
  <si>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</si>
  <si>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</si>
  <si>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</si>
  <si>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</si>
  <si>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</si>
  <si>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</si>
  <si>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</si>
  <si>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</si>
  <si>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</si>
  <si>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</si>
  <si>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</si>
  <si>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</si>
  <si>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</si>
  <si>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</si>
  <si>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</si>
  <si>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</si>
  <si>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</si>
  <si>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</si>
  <si>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</si>
  <si>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</si>
  <si>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</si>
  <si>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</si>
  <si>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</si>
  <si>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</si>
  <si>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</si>
  <si>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</si>
  <si>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</si>
  <si>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</si>
  <si>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</si>
  <si>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</si>
  <si>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</si>
  <si>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</si>
  <si>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</si>
  <si>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</si>
  <si>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</si>
  <si>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</si>
  <si>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</si>
  <si>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</si>
  <si>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</si>
  <si>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</si>
  <si>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</si>
  <si>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</si>
  <si>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</si>
  <si>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</si>
  <si>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</si>
  <si>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</si>
  <si>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</si>
  <si>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</si>
  <si>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</si>
  <si>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</si>
  <si>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</si>
  <si>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</si>
  <si>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</si>
  <si>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</si>
  <si>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</si>
  <si>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</si>
  <si>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</si>
  <si>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</si>
  <si>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</si>
  <si>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</si>
  <si>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</si>
  <si>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</si>
  <si>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</si>
  <si>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</si>
  <si>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</si>
  <si>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</si>
  <si>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</si>
  <si>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</si>
  <si>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</si>
  <si>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</si>
  <si>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</si>
  <si>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</si>
  <si>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</si>
  <si>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</si>
  <si>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</si>
  <si>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</si>
  <si>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</si>
  <si>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</si>
  <si>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</si>
  <si>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</si>
  <si>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</si>
  <si>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</si>
  <si>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</si>
  <si>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</si>
  <si>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</si>
  <si>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</si>
  <si>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</si>
  <si>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</si>
  <si>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</si>
  <si>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</si>
  <si>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</si>
  <si>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</si>
  <si>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</si>
  <si>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</si>
  <si>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</si>
  <si>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</si>
  <si>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</si>
  <si>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</si>
  <si>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</si>
  <si>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</si>
  <si>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</si>
  <si>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</si>
  <si>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</si>
  <si>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</si>
  <si>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</si>
  <si>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</si>
  <si>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</si>
  <si>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</si>
  <si>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</si>
  <si>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</si>
  <si>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</si>
  <si>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</si>
  <si>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</si>
  <si>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</si>
  <si>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</si>
  <si>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</si>
  <si>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</si>
  <si>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</si>
  <si>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</si>
  <si>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</si>
  <si>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</si>
  <si>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</si>
  <si>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</si>
  <si>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</si>
  <si>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</si>
  <si>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</si>
  <si>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</si>
  <si>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</si>
  <si>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</si>
  <si>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</si>
  <si>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</si>
  <si>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</si>
  <si>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</si>
  <si>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</si>
  <si>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</si>
  <si>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</si>
  <si>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</si>
  <si>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</si>
  <si>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</si>
  <si>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</si>
  <si>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</si>
  <si>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</si>
  <si>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</si>
  <si>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</si>
  <si>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</si>
  <si>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</si>
  <si>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</si>
  <si>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</si>
  <si>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</si>
  <si>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</si>
  <si>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</si>
  <si>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</si>
  <si>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</si>
  <si>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</si>
  <si>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</si>
  <si>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</si>
  <si>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</si>
  <si>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</si>
  <si>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</si>
  <si>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</si>
  <si>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</si>
  <si>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</si>
  <si>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</si>
  <si>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</si>
  <si>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</si>
  <si>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</si>
  <si>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</si>
  <si>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</si>
  <si>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</si>
  <si>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</si>
  <si>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</si>
  <si>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</si>
  <si>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</si>
  <si>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</si>
  <si>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</si>
  <si>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</si>
  <si>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</si>
  <si>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</si>
  <si>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</si>
  <si>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</si>
  <si>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</si>
  <si>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</si>
  <si>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</si>
  <si>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</si>
  <si>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</si>
  <si>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</si>
  <si>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</si>
  <si>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</si>
  <si>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</si>
  <si>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</si>
  <si>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</si>
  <si>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</si>
  <si>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</si>
  <si>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</si>
  <si>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</si>
  <si>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</si>
  <si>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</si>
  <si>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</si>
  <si>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</si>
  <si>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</si>
  <si>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</si>
  <si>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</si>
  <si>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</si>
  <si>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</si>
  <si>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</si>
  <si>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</si>
  <si>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</si>
  <si>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</si>
  <si>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</si>
  <si>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</si>
  <si>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</si>
  <si>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</si>
  <si>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</si>
  <si>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</si>
  <si>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</si>
  <si>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</si>
  <si>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</si>
  <si>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</si>
  <si>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</si>
  <si>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</si>
  <si>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</si>
  <si>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</si>
  <si>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</si>
  <si>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</si>
  <si>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</si>
  <si>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</si>
  <si>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</si>
  <si>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</si>
  <si>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</si>
  <si>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</si>
  <si>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</si>
  <si>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</si>
  <si>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</si>
  <si>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</si>
  <si>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</si>
  <si>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</si>
  <si>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</si>
  <si>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</si>
  <si>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</si>
  <si>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</si>
  <si>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</si>
  <si>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</si>
  <si>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</si>
  <si>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</si>
  <si>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</si>
  <si>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</si>
  <si>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</si>
  <si>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</si>
  <si>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</si>
  <si>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</si>
  <si>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</si>
  <si>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</si>
  <si>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</si>
  <si>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</si>
  <si>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</si>
  <si>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</si>
  <si>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</si>
  <si>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</si>
  <si>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</si>
  <si>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</si>
  <si>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</si>
  <si>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</si>
  <si>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</si>
  <si>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</si>
  <si>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</si>
  <si>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</si>
  <si>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</si>
  <si>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</si>
  <si>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</si>
  <si>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</si>
  <si>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</si>
  <si>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</si>
  <si>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</si>
  <si>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</si>
  <si>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</si>
  <si>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</si>
  <si>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</si>
  <si>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</si>
  <si>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</si>
  <si>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</si>
  <si>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</si>
  <si>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</si>
  <si>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</si>
  <si>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</si>
  <si>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</si>
  <si>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</si>
  <si>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</si>
  <si>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</si>
  <si>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</si>
  <si>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</si>
  <si>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</si>
  <si>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</si>
  <si>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</si>
  <si>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</si>
  <si>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</si>
  <si>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</si>
  <si>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</si>
  <si>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</si>
  <si>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</si>
  <si>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</si>
  <si>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</si>
  <si>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</si>
  <si>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</si>
  <si>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</si>
  <si>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</si>
  <si>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</si>
  <si>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</si>
  <si>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</si>
  <si>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</si>
  <si>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</si>
  <si>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</si>
  <si>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</si>
  <si>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</si>
  <si>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</si>
  <si>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</si>
  <si>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</si>
  <si>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</si>
  <si>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</si>
  <si>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</si>
  <si>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</si>
  <si>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</si>
  <si>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</si>
  <si>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</si>
  <si>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</si>
  <si>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</si>
  <si>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</si>
  <si>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</si>
  <si>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</si>
  <si>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</si>
  <si>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</si>
  <si>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</si>
  <si>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</si>
  <si>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</si>
  <si>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</si>
  <si>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</si>
  <si>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</si>
  <si>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</si>
  <si>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</si>
  <si>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</si>
  <si>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</si>
  <si>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</si>
  <si>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</si>
  <si>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</si>
  <si>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</si>
  <si>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</si>
  <si>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</si>
  <si>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</si>
  <si>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</si>
  <si>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</si>
  <si>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</si>
  <si>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</si>
  <si>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</si>
  <si>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</si>
  <si>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</si>
  <si>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</si>
  <si>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</si>
  <si>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</si>
  <si>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</si>
  <si>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</si>
  <si>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</si>
  <si>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</si>
  <si>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</si>
  <si>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</si>
  <si>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</si>
  <si>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</si>
  <si>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</si>
  <si>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</si>
  <si>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</si>
  <si>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</si>
  <si>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</si>
  <si>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</si>
  <si>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</si>
  <si>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</si>
  <si>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</si>
  <si>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</si>
  <si>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</si>
  <si>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</si>
  <si>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</si>
  <si>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</si>
  <si>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</si>
  <si>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</si>
  <si>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</si>
  <si>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</si>
  <si>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</si>
  <si>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</si>
  <si>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</si>
  <si>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</si>
  <si>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</si>
  <si>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</si>
  <si>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</si>
  <si>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</si>
  <si>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</si>
  <si>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</si>
  <si>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</si>
  <si>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</si>
  <si>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</si>
  <si>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</si>
  <si>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</si>
  <si>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</si>
  <si>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</si>
  <si>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</si>
  <si>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</si>
  <si>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</si>
  <si>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</si>
  <si>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</si>
  <si>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</si>
  <si>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</si>
  <si>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</si>
  <si>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</si>
  <si>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</si>
  <si>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</si>
  <si>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</si>
  <si>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</si>
  <si>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</si>
  <si>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</si>
  <si>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</si>
  <si>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</si>
  <si>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</si>
  <si>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</si>
  <si>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</si>
  <si>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</si>
  <si>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</si>
  <si>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</si>
  <si>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</si>
  <si>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</si>
  <si>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</si>
  <si>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</si>
  <si>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</si>
  <si>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</si>
  <si>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</si>
  <si>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</si>
  <si>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</si>
  <si>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</si>
  <si>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</si>
  <si>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</si>
  <si>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</si>
  <si>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</si>
  <si>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</si>
  <si>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</si>
  <si>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</si>
  <si>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</si>
  <si>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</si>
  <si>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</si>
  <si>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</si>
  <si>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</si>
  <si>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</si>
  <si>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</si>
  <si>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</si>
  <si>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</si>
  <si>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</si>
  <si>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</si>
  <si>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</si>
  <si>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</si>
  <si>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</si>
  <si>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</si>
  <si>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</si>
  <si>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</si>
  <si>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</si>
  <si>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</si>
  <si>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</si>
  <si>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</si>
  <si>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</si>
  <si>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</si>
  <si>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</si>
  <si>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</si>
  <si>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</si>
  <si>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</si>
  <si>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</si>
  <si>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</si>
  <si>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</si>
  <si>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</si>
  <si>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</si>
  <si>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</si>
  <si>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</si>
  <si>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</si>
  <si>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</si>
  <si>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</si>
  <si>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</si>
  <si>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</si>
  <si>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</si>
  <si>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</si>
  <si>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</si>
  <si>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</si>
  <si>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</si>
  <si>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</si>
  <si>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</si>
  <si>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</si>
  <si>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</si>
  <si>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</si>
  <si>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</si>
  <si>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</si>
  <si>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</si>
  <si>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</si>
  <si>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</si>
  <si>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</si>
  <si>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</si>
  <si>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</si>
  <si>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</si>
  <si>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</si>
  <si>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</si>
  <si>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</si>
  <si>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</si>
  <si>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</si>
  <si>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</si>
  <si>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</si>
  <si>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</si>
  <si>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</si>
  <si>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</si>
  <si>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</si>
  <si>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</si>
  <si>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</si>
  <si>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</si>
  <si>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</si>
  <si>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</si>
  <si>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</si>
  <si>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</si>
  <si>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</si>
  <si>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</si>
  <si>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</si>
  <si>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</si>
  <si>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</si>
  <si>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</si>
  <si>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</si>
  <si>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</si>
  <si>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</si>
  <si>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</si>
  <si>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</si>
  <si>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</si>
  <si>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</si>
  <si>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</si>
  <si>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</si>
  <si>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</si>
  <si>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</si>
  <si>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</si>
  <si>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</si>
  <si>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</si>
  <si>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</si>
  <si>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</si>
  <si>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</si>
  <si>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</si>
  <si>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</si>
  <si>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</si>
  <si>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</si>
  <si>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</si>
  <si>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</si>
  <si>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</si>
  <si>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</si>
  <si>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</si>
  <si>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</si>
  <si>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</si>
  <si>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</si>
  <si>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</si>
  <si>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</si>
  <si>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</si>
  <si>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</si>
  <si>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</si>
  <si>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</si>
  <si>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</si>
  <si>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</si>
  <si>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</si>
  <si>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</si>
  <si>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</si>
  <si>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</si>
  <si>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</si>
  <si>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</si>
  <si>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</si>
  <si>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</si>
  <si>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</si>
  <si>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</si>
  <si>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</si>
  <si>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</si>
  <si>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</si>
  <si>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</si>
  <si>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</si>
  <si>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</si>
  <si>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</si>
  <si>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</si>
  <si>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</si>
  <si>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</si>
  <si>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</si>
  <si>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</si>
  <si>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</si>
  <si>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</si>
  <si>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</si>
  <si>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</si>
  <si>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</si>
  <si>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</si>
  <si>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</si>
  <si>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</si>
  <si>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</si>
  <si>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</si>
  <si>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</si>
  <si>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</si>
  <si>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</si>
  <si>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</si>
  <si>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</si>
  <si>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</si>
  <si>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</si>
  <si>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</si>
  <si>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</si>
  <si>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</si>
  <si>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</si>
  <si>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</si>
  <si>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</si>
  <si>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</si>
  <si>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</si>
  <si>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</si>
  <si>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</si>
  <si>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</si>
  <si>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</si>
  <si>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</si>
  <si>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</si>
  <si>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</si>
  <si>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</si>
  <si>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</si>
  <si>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</si>
  <si>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</si>
  <si>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</si>
  <si>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</si>
  <si>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</si>
  <si>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</si>
  <si>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</si>
  <si>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</si>
  <si>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</si>
  <si>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</si>
  <si>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</si>
  <si>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</si>
  <si>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</si>
  <si>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</si>
  <si>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</si>
  <si>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</si>
  <si>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</si>
  <si>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</si>
  <si>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</si>
  <si>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</si>
  <si>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</si>
  <si>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</si>
  <si>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</si>
  <si>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</si>
  <si>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</si>
  <si>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</si>
  <si>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</si>
  <si>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</si>
  <si>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</si>
  <si>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</si>
  <si>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</si>
  <si>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</si>
  <si>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</si>
  <si>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</si>
  <si>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</si>
  <si>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</si>
  <si>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</si>
  <si>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</si>
  <si>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</si>
  <si>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</si>
  <si>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</si>
  <si>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</si>
  <si>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</si>
  <si>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</si>
  <si>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</si>
  <si>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</si>
  <si>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</si>
  <si>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</si>
  <si>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</si>
  <si>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</si>
  <si>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</si>
  <si>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</si>
  <si>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</si>
  <si>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</si>
  <si>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</si>
  <si>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</si>
  <si>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</si>
  <si>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</si>
  <si>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</si>
  <si>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</si>
  <si>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</si>
  <si>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</si>
  <si>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</si>
  <si>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</si>
  <si>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</si>
  <si>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</si>
  <si>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</si>
  <si>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</si>
  <si>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</si>
  <si>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</si>
  <si>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</si>
  <si>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</si>
  <si>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</si>
  <si>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</si>
  <si>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</si>
  <si>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</si>
  <si>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</si>
  <si>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</si>
  <si>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</si>
  <si>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</si>
  <si>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</si>
  <si>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</si>
  <si>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</si>
  <si>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</si>
  <si>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</si>
  <si>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</si>
  <si>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</si>
  <si>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</si>
  <si>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</si>
  <si>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</si>
  <si>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</si>
  <si>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</si>
  <si>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</si>
  <si>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</si>
  <si>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</si>
  <si>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</si>
  <si>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</si>
  <si>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</si>
  <si>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</si>
  <si>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</si>
  <si>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</si>
  <si>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</si>
  <si>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</si>
  <si>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</si>
  <si>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</si>
  <si>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</si>
  <si>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</si>
  <si>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</si>
  <si>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</si>
  <si>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</si>
  <si>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</si>
  <si>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</si>
  <si>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</si>
  <si>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</si>
  <si>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</si>
  <si>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</si>
  <si>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</si>
  <si>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</si>
  <si>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</si>
  <si>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</si>
  <si>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</si>
  <si>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</si>
  <si>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</si>
  <si>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</si>
  <si>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</si>
  <si>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</si>
  <si>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</si>
  <si>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</si>
  <si>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</si>
  <si>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</si>
  <si>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</si>
  <si>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</si>
  <si>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</si>
  <si>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</si>
  <si>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</si>
  <si>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</si>
  <si>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</si>
  <si>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</si>
  <si>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</si>
  <si>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</si>
  <si>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</si>
  <si>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</si>
  <si>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</si>
  <si>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</si>
  <si>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</si>
  <si>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</si>
  <si>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</si>
  <si>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</si>
  <si>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</si>
  <si>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</si>
  <si>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</si>
  <si>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</si>
  <si>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</si>
  <si>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</si>
  <si>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</si>
  <si>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</si>
  <si>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</si>
  <si>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</si>
  <si>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</si>
  <si>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</si>
  <si>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</si>
  <si>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</si>
  <si>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</si>
  <si>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</si>
  <si>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</si>
  <si>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</si>
  <si>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</si>
  <si>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</si>
  <si>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</si>
  <si>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</si>
  <si>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</si>
  <si>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</si>
  <si>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</si>
  <si>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</si>
  <si>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</si>
  <si>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</si>
  <si>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</si>
  <si>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</si>
  <si>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</si>
  <si>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</si>
  <si>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</si>
  <si>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</si>
  <si>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</si>
  <si>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</si>
  <si>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</si>
  <si>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</si>
  <si>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</si>
  <si>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</si>
  <si>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</si>
  <si>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</si>
  <si>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</si>
  <si>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</si>
  <si>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</si>
  <si>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</si>
  <si>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</si>
  <si>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</si>
  <si>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</si>
  <si>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</si>
  <si>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</si>
  <si>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</si>
  <si>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</si>
  <si>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</si>
  <si>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</si>
  <si>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</si>
  <si>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</si>
  <si>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</si>
  <si>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</si>
  <si>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</si>
  <si>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</si>
  <si>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</si>
  <si>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</si>
  <si>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</si>
  <si>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</si>
  <si>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</si>
  <si>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</si>
  <si>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</si>
  <si>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</si>
  <si>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</si>
  <si>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</si>
  <si>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</si>
  <si>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</si>
  <si>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</si>
  <si>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</si>
  <si>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</si>
  <si>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</si>
  <si>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</si>
  <si>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</si>
  <si>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</si>
  <si>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</si>
  <si>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</si>
  <si>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</si>
  <si>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</si>
  <si>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</si>
  <si>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</si>
  <si>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</si>
  <si>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</si>
  <si>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</si>
  <si>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</si>
  <si>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</si>
  <si>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</si>
  <si>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</si>
  <si>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</si>
  <si>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</si>
  <si>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</si>
  <si>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</si>
  <si>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</si>
  <si>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</si>
  <si>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</si>
  <si>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</si>
  <si>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</si>
  <si>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</si>
  <si>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</si>
  <si>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</si>
  <si>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</si>
  <si>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</si>
  <si>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</si>
  <si>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</si>
  <si>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</si>
  <si>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</si>
  <si>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</si>
  <si>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</si>
  <si>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</si>
  <si>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</si>
  <si>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</si>
  <si>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</si>
  <si>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</si>
  <si>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</si>
  <si>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</si>
  <si>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</si>
  <si>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</si>
  <si>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</si>
  <si>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</si>
  <si>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</si>
  <si>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</si>
  <si>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</si>
  <si>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</si>
  <si>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</si>
  <si>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</si>
  <si>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</si>
  <si>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</si>
  <si>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</si>
  <si>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</si>
  <si>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</si>
  <si>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</si>
  <si>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</si>
  <si>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</si>
  <si>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</si>
  <si>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</si>
  <si>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</si>
  <si>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</si>
  <si>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</si>
  <si>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</si>
  <si>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</si>
  <si>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</si>
  <si>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</si>
  <si>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</si>
  <si>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</si>
  <si>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</si>
  <si>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</si>
  <si>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</si>
  <si>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</si>
  <si>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</si>
  <si>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</si>
  <si>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</si>
  <si>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</si>
  <si>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</si>
  <si>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</si>
  <si>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</si>
  <si>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</si>
  <si>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</si>
  <si>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</si>
  <si>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</si>
  <si>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</si>
  <si>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</si>
  <si>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</si>
  <si>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</si>
  <si>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</si>
  <si>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</si>
  <si>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</si>
  <si>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</si>
  <si>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</si>
  <si>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</si>
  <si>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</si>
  <si>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</si>
  <si>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</si>
  <si>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</si>
  <si>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</si>
  <si>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</si>
  <si>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</si>
  <si>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</si>
  <si>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</si>
  <si>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</si>
  <si>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</si>
  <si>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</si>
  <si>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</si>
  <si>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</si>
  <si>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</si>
  <si>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</si>
  <si>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</si>
  <si>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</si>
  <si>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</si>
  <si>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</si>
  <si>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</si>
  <si>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</si>
  <si>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</si>
  <si>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</si>
  <si>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</si>
  <si>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</si>
  <si>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</si>
  <si>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</si>
  <si>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</si>
  <si>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</si>
  <si>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</si>
  <si>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</si>
  <si>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</si>
  <si>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</si>
  <si>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</si>
  <si>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</si>
  <si>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</si>
  <si>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</si>
  <si>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</si>
  <si>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</si>
  <si>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</si>
  <si>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</si>
  <si>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</si>
  <si>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</si>
  <si>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</si>
  <si>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</si>
  <si>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</si>
  <si>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</si>
  <si>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</si>
  <si>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</si>
  <si>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</si>
  <si>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</si>
  <si>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</si>
  <si>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</si>
  <si>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</si>
  <si>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</si>
  <si>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</si>
  <si>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</si>
  <si>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</si>
  <si>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</si>
  <si>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</si>
  <si>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</si>
  <si>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</si>
  <si>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</si>
  <si>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</si>
  <si>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</si>
  <si>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</si>
  <si>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</si>
  <si>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</si>
  <si>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</si>
  <si>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</si>
  <si>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</si>
  <si>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</si>
  <si>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</si>
  <si>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</si>
  <si>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</si>
  <si>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</si>
  <si>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</si>
  <si>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</si>
  <si>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</si>
  <si>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</si>
  <si>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</si>
  <si>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</si>
  <si>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</si>
  <si>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</si>
  <si>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</si>
  <si>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</si>
  <si>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</si>
  <si>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</si>
  <si>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</si>
  <si>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</si>
  <si>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</si>
  <si>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</si>
  <si>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</si>
  <si>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</si>
  <si>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</si>
  <si>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</si>
  <si>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</si>
  <si>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</si>
  <si>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</si>
  <si>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</si>
  <si>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</si>
  <si>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</si>
  <si>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</si>
  <si>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</si>
  <si>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</si>
  <si>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</si>
  <si>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</si>
  <si>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</si>
  <si>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</si>
  <si>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</si>
  <si>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</si>
  <si>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</si>
  <si>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</si>
  <si>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</si>
  <si>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</si>
  <si>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</si>
  <si>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</si>
  <si>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</si>
  <si>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</si>
  <si>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</si>
  <si>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</si>
  <si>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</si>
  <si>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</si>
  <si>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</si>
  <si>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</si>
  <si>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</si>
  <si>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</si>
  <si>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</si>
  <si>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</si>
  <si>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</si>
  <si>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</si>
  <si>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</si>
  <si>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</si>
  <si>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</si>
  <si>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</si>
  <si>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</si>
  <si>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</si>
  <si>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</si>
  <si>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</si>
  <si>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</si>
  <si>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</si>
  <si>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</si>
  <si>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</si>
  <si>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</si>
  <si>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</si>
  <si>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</si>
  <si>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</si>
  <si>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</si>
  <si>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</si>
  <si>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</si>
  <si>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</si>
  <si>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</si>
  <si>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</si>
  <si>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</si>
  <si>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</si>
  <si>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</si>
  <si>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</si>
  <si>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</si>
  <si>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</si>
  <si>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</si>
  <si>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</si>
  <si>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</si>
  <si>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</si>
  <si>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</si>
  <si>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</si>
  <si>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</si>
  <si>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</si>
  <si>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</si>
  <si>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</si>
  <si>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</si>
  <si>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</si>
  <si>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</si>
  <si>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</si>
  <si>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</si>
  <si>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</si>
  <si>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</si>
  <si>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</si>
  <si>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</si>
  <si>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</si>
  <si>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</si>
  <si>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</si>
  <si>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</si>
  <si>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</si>
  <si>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</si>
  <si>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</si>
  <si>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</si>
  <si>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</si>
  <si>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</si>
  <si>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</si>
  <si>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</si>
  <si>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</si>
  <si>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</si>
  <si>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</si>
  <si>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</si>
  <si>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</si>
  <si>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</si>
  <si>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</si>
  <si>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</si>
  <si>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</si>
  <si>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</si>
  <si>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</si>
  <si>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</si>
  <si>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</si>
  <si>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</si>
  <si>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</si>
  <si>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</si>
  <si>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</si>
  <si>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</si>
  <si>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</si>
  <si>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</si>
  <si>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</si>
  <si>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</si>
  <si>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</si>
  <si>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</si>
  <si>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</si>
  <si>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</si>
  <si>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</si>
  <si>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</si>
  <si>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</si>
  <si>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</si>
  <si>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</si>
  <si>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</si>
  <si>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</si>
  <si>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</si>
  <si>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</si>
  <si>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</si>
  <si>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</si>
  <si>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</si>
  <si>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</si>
  <si>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</si>
  <si>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</si>
  <si>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</si>
  <si>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</si>
  <si>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</si>
  <si>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</si>
  <si>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</si>
  <si>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</si>
  <si>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</si>
  <si>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</si>
  <si>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</si>
  <si>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</si>
  <si>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</si>
  <si>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</si>
  <si>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</si>
  <si>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</si>
  <si>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</si>
  <si>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</si>
  <si>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</si>
  <si>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</si>
  <si>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</si>
  <si>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</si>
  <si>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</si>
  <si>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</si>
  <si>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</si>
  <si>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</si>
  <si>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</si>
  <si>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</si>
  <si>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</si>
  <si>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</si>
  <si>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</si>
  <si>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</si>
  <si>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</si>
  <si>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</si>
  <si>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</si>
  <si>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</si>
  <si>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</si>
  <si>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</si>
  <si>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</si>
  <si>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</si>
  <si>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</si>
  <si>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</si>
  <si>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</si>
  <si>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</si>
  <si>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</si>
  <si>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</si>
  <si>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</si>
  <si>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</si>
  <si>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</si>
  <si>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</si>
  <si>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</si>
  <si>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</si>
  <si>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</si>
  <si>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</si>
  <si>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</si>
  <si>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</si>
  <si>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</si>
  <si>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</si>
  <si>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</si>
  <si>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</si>
  <si>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</si>
  <si>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</si>
  <si>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</si>
  <si>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</si>
  <si>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</si>
  <si>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</si>
  <si>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</si>
  <si>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</si>
  <si>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</si>
  <si>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</si>
  <si>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</si>
  <si>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</si>
  <si>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</si>
  <si>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</si>
  <si>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</si>
  <si>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</si>
  <si>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</si>
  <si>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</si>
  <si>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</si>
  <si>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</si>
  <si>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</si>
  <si>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</si>
  <si>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</si>
  <si>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</si>
  <si>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</si>
  <si>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</si>
  <si>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</si>
  <si>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</si>
  <si>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</si>
  <si>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</si>
  <si>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</si>
  <si>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</si>
  <si>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</si>
  <si>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</si>
  <si>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</si>
  <si>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</si>
  <si>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</si>
  <si>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</si>
  <si>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</si>
  <si>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</si>
  <si>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</si>
  <si>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</si>
  <si>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</si>
  <si>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</si>
  <si>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</si>
  <si>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</si>
  <si>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</si>
  <si>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</si>
  <si>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</si>
  <si>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</si>
  <si>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</si>
  <si>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</si>
  <si>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</si>
  <si>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</si>
  <si>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</si>
  <si>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</si>
  <si>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</si>
  <si>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</si>
  <si>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</si>
  <si>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</si>
  <si>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</si>
  <si>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</si>
  <si>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</si>
  <si>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</si>
  <si>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</si>
  <si>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</si>
  <si>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</si>
  <si>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</si>
  <si>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</si>
  <si>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</si>
  <si>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</si>
  <si>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</si>
  <si>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</si>
  <si>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</si>
  <si>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</si>
  <si>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</si>
  <si>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</si>
  <si>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</si>
  <si>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</si>
  <si>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</si>
  <si>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</si>
  <si>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</si>
  <si>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</si>
  <si>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</si>
  <si>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</si>
  <si>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</si>
  <si>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</si>
  <si>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</si>
  <si>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</si>
  <si>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</si>
  <si>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</si>
  <si>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</si>
  <si>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</si>
  <si>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</si>
  <si>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</si>
  <si>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</si>
  <si>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</si>
  <si>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</si>
  <si>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</si>
  <si>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</si>
  <si>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</si>
  <si>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</si>
  <si>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</si>
  <si>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</si>
  <si>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</si>
  <si>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</si>
  <si>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</si>
  <si>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</si>
  <si>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</si>
  <si>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</si>
  <si>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</si>
  <si>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</si>
  <si>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</si>
  <si>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</si>
  <si>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</si>
  <si>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</si>
  <si>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</si>
  <si>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</si>
  <si>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</si>
  <si>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</si>
  <si>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</si>
  <si>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</si>
  <si>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</si>
  <si>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</si>
  <si>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</si>
  <si>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</si>
  <si>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</si>
  <si>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</si>
  <si>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</si>
  <si>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</si>
  <si>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</si>
  <si>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</si>
  <si>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</si>
  <si>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</si>
  <si>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</si>
  <si>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</si>
  <si>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</si>
  <si>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</si>
  <si>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</si>
  <si>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</si>
  <si>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</si>
  <si>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</si>
  <si>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</si>
  <si>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</si>
  <si>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</si>
  <si>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</si>
  <si>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</si>
  <si>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</si>
  <si>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</si>
  <si>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</si>
  <si>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</si>
  <si>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</si>
  <si>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</si>
  <si>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</si>
  <si>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</si>
  <si>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</si>
  <si>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</si>
  <si>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</si>
  <si>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</si>
  <si>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</si>
  <si>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</si>
  <si>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</si>
  <si>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</si>
  <si>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</si>
  <si>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</si>
  <si>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</si>
  <si>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</si>
  <si>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</si>
  <si>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</si>
  <si>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</si>
  <si>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</si>
  <si>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</si>
  <si>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</si>
  <si>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</si>
  <si>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</si>
  <si>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</si>
  <si>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</si>
  <si>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</si>
  <si>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</si>
  <si>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</si>
  <si>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</si>
  <si>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</si>
  <si>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</si>
  <si>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</si>
  <si>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</si>
  <si>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</si>
  <si>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</si>
  <si>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</si>
  <si>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</si>
  <si>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</si>
  <si>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</si>
  <si>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</si>
  <si>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</si>
  <si>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</si>
  <si>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</si>
  <si>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</si>
  <si>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</si>
  <si>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</si>
  <si>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</si>
  <si>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</si>
  <si>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</si>
  <si>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</si>
  <si>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</si>
  <si>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</si>
  <si>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</si>
  <si>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</si>
  <si>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</si>
  <si>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</si>
  <si>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</si>
  <si>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</si>
  <si>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</si>
  <si>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</si>
  <si>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</si>
  <si>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</si>
  <si>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</si>
  <si>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</si>
  <si>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</si>
  <si>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</si>
  <si>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</si>
  <si>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</si>
  <si>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</si>
  <si>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</si>
  <si>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</si>
  <si>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</si>
  <si>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</si>
  <si>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</si>
  <si>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</si>
  <si>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</si>
  <si>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</si>
  <si>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</si>
  <si>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</si>
  <si>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</si>
  <si>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</si>
  <si>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</si>
  <si>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</si>
  <si>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</si>
  <si>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</si>
  <si>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</si>
  <si>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</si>
  <si>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</si>
  <si>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</si>
  <si>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</si>
  <si>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</si>
  <si>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</si>
  <si>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</si>
  <si>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</si>
  <si>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</si>
  <si>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</si>
  <si>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</si>
  <si>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</si>
  <si>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</si>
  <si>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</si>
  <si>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</si>
  <si>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</si>
  <si>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</si>
  <si>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</si>
  <si>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</si>
  <si>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</si>
  <si>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</si>
  <si>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</si>
  <si>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</si>
  <si>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</si>
  <si>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</si>
  <si>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</si>
  <si>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</si>
  <si>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</si>
  <si>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</si>
  <si>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</si>
  <si>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</si>
  <si>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</si>
  <si>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</si>
  <si>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</si>
  <si>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</si>
  <si>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</si>
  <si>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</si>
  <si>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</si>
  <si>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</si>
  <si>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</si>
  <si>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</si>
  <si>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</si>
  <si>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</si>
  <si>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</si>
  <si>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</si>
  <si>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</si>
  <si>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</si>
  <si>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</si>
  <si>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</si>
  <si>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</si>
  <si>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</si>
  <si>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</si>
  <si>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</si>
  <si>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</si>
  <si>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</si>
  <si>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</si>
  <si>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</si>
  <si>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</si>
  <si>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</si>
  <si>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</si>
  <si>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</si>
  <si>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</si>
  <si>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</si>
  <si>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</si>
  <si>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</si>
  <si>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</si>
  <si>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</si>
  <si>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</si>
  <si>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</si>
  <si>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</si>
  <si>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</si>
  <si>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</si>
  <si>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</si>
  <si>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</si>
  <si>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</si>
  <si>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</si>
  <si>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</si>
  <si>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</si>
  <si>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</si>
  <si>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</si>
  <si>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</si>
  <si>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</si>
  <si>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</si>
  <si>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</si>
  <si>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</si>
  <si>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</si>
  <si>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</si>
  <si>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</si>
  <si>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</si>
  <si>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</si>
  <si>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</si>
  <si>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</si>
  <si>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</si>
  <si>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</si>
  <si>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</si>
  <si>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</si>
  <si>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</si>
  <si>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</si>
  <si>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</si>
  <si>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</si>
  <si>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</si>
  <si>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</si>
  <si>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</si>
  <si>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</si>
  <si>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</si>
  <si>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</si>
  <si>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</si>
  <si>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</si>
  <si>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</si>
  <si>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</si>
  <si>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</si>
  <si>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</si>
  <si>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</si>
  <si>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</si>
  <si>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</si>
  <si>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</si>
  <si>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</si>
  <si>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</si>
  <si>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</si>
  <si>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</si>
  <si>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</si>
  <si>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</si>
  <si>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</si>
  <si>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</si>
  <si>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</si>
  <si>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</si>
  <si>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</si>
  <si>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</si>
  <si>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</si>
  <si>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</si>
  <si>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</si>
  <si>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</si>
  <si>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</si>
  <si>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</si>
  <si>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</si>
  <si>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</si>
  <si>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</si>
  <si>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</si>
  <si>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</si>
  <si>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</si>
  <si>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</si>
  <si>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</si>
  <si>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</si>
  <si>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</si>
  <si>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</si>
  <si>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</si>
  <si>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</si>
  <si>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</si>
  <si>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</si>
  <si>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</si>
  <si>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</si>
  <si>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</si>
  <si>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</si>
  <si>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</si>
  <si>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</si>
  <si>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</si>
  <si>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</si>
  <si>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</si>
  <si>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</si>
  <si>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</si>
  <si>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</si>
  <si>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</si>
  <si>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</si>
  <si>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</si>
  <si>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</si>
  <si>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</si>
  <si>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</si>
  <si>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</si>
  <si>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</si>
  <si>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</si>
  <si>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</si>
  <si>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</si>
  <si>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</si>
  <si>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</si>
  <si>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</si>
  <si>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</si>
  <si>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</si>
  <si>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</si>
  <si>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</si>
  <si>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</si>
  <si>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</si>
  <si>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</si>
  <si>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</si>
  <si>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</si>
  <si>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</si>
  <si>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</si>
  <si>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</si>
  <si>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</si>
  <si>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</si>
  <si>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</si>
  <si>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</si>
  <si>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</si>
  <si>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</si>
  <si>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</si>
  <si>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</si>
  <si>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</si>
  <si>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</si>
  <si>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</si>
  <si>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</si>
  <si>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</si>
  <si>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</si>
  <si>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</si>
  <si>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</si>
  <si>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</si>
  <si>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</si>
  <si>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</si>
  <si>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</si>
  <si>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</si>
  <si>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</si>
  <si>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</si>
  <si>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</si>
  <si>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</si>
  <si>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</si>
  <si>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</si>
  <si>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</si>
  <si>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</si>
  <si>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</si>
  <si>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</si>
  <si>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</si>
  <si>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</si>
  <si>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</si>
  <si>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</si>
  <si>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</si>
  <si>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</si>
  <si>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</si>
  <si>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</si>
  <si>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</si>
  <si>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</si>
  <si>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</si>
  <si>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</si>
  <si>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</si>
  <si>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</si>
  <si>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</si>
  <si>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</si>
  <si>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</si>
  <si>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</si>
  <si>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</si>
  <si>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</si>
  <si>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</si>
  <si>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</si>
  <si>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</si>
  <si>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</si>
  <si>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</si>
  <si>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</si>
  <si>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</si>
  <si>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</si>
  <si>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</si>
  <si>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</si>
  <si>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</si>
  <si>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</si>
  <si>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</si>
  <si>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</si>
  <si>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</si>
  <si>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</si>
  <si>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</si>
  <si>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</si>
  <si>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</si>
  <si>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</si>
  <si>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</si>
  <si>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</si>
  <si>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</si>
  <si>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</si>
  <si>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</si>
  <si>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</si>
  <si>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</si>
  <si>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</si>
  <si>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</si>
  <si>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</si>
  <si>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</si>
  <si>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</si>
  <si>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</si>
  <si>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</si>
  <si>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</si>
  <si>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</si>
  <si>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</si>
  <si>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</si>
  <si>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</si>
  <si>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</si>
  <si>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</si>
  <si>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</si>
  <si>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</si>
  <si>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</si>
  <si>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</si>
  <si>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</si>
  <si>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</si>
  <si>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</si>
  <si>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</si>
  <si>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</si>
  <si>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</si>
  <si>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</si>
  <si>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</si>
  <si>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</si>
  <si>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</si>
  <si>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</si>
  <si>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</si>
  <si>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</si>
  <si>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</si>
  <si>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</si>
  <si>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</si>
  <si>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</si>
  <si>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</si>
  <si>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</si>
  <si>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</si>
  <si>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</si>
  <si>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</si>
  <si>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</si>
  <si>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</si>
  <si>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</si>
  <si>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</si>
  <si>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</si>
  <si>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</si>
  <si>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</si>
  <si>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</si>
  <si>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</si>
  <si>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</si>
  <si>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</si>
  <si>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</si>
  <si>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</si>
  <si>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</si>
  <si>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</si>
  <si>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</si>
  <si>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</si>
  <si>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</si>
  <si>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</si>
  <si>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</si>
  <si>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</si>
  <si>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</si>
  <si>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</si>
  <si>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</si>
  <si>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</si>
  <si>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</si>
  <si>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</si>
  <si>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</si>
  <si>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</si>
  <si>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</si>
  <si>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</si>
  <si>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</si>
  <si>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</si>
  <si>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</si>
  <si>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</si>
  <si>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</si>
  <si>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</si>
  <si>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</si>
  <si>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</si>
  <si>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</si>
  <si>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</si>
  <si>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</si>
  <si>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</si>
  <si>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</si>
  <si>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</si>
  <si>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</si>
  <si>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</si>
  <si>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</si>
  <si>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</si>
  <si>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</si>
  <si>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</si>
  <si>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</si>
  <si>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</si>
  <si>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</si>
  <si>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</si>
  <si>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</si>
  <si>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</si>
  <si>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</si>
  <si>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</si>
  <si>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</si>
  <si>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</si>
  <si>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</si>
  <si>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</si>
  <si>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</si>
  <si>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</si>
  <si>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</si>
  <si>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</si>
  <si>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</si>
  <si>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</si>
  <si>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</si>
  <si>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</si>
  <si>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</si>
  <si>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</si>
  <si>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</si>
  <si>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</si>
  <si>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</si>
  <si>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</si>
  <si>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</si>
  <si>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</si>
  <si>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</si>
  <si>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</si>
  <si>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</si>
  <si>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</si>
  <si>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</si>
  <si>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</si>
  <si>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</si>
  <si>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</si>
  <si>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</si>
  <si>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</si>
  <si>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</si>
  <si>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</si>
  <si>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</si>
  <si>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</si>
  <si>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</si>
  <si>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</si>
  <si>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</si>
  <si>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</si>
  <si>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</si>
  <si>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</si>
  <si>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</si>
  <si>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</si>
  <si>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</si>
  <si>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</si>
  <si>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</si>
  <si>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</si>
  <si>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</si>
  <si>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</si>
  <si>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</si>
  <si>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</si>
  <si>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</si>
  <si>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</si>
  <si>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</si>
  <si>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</si>
  <si>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</si>
  <si>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</si>
  <si>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</si>
  <si>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</si>
  <si>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</si>
  <si>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</si>
  <si>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</si>
  <si>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</si>
  <si>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</si>
  <si>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</si>
  <si>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</si>
  <si>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</si>
  <si>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</si>
  <si>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</si>
  <si>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</si>
  <si>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</si>
  <si>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</si>
  <si>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</si>
  <si>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</si>
  <si>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</si>
  <si>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</si>
  <si>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</si>
  <si>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</si>
  <si>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</si>
  <si>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</si>
  <si>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</si>
  <si>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</si>
  <si>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</si>
  <si>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</si>
  <si>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</si>
  <si>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</si>
  <si>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</si>
  <si>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</si>
  <si>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</si>
  <si>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</si>
  <si>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</si>
  <si>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</si>
  <si>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</si>
  <si>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</si>
  <si>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</si>
  <si>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</si>
  <si>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</si>
  <si>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</si>
  <si>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</si>
  <si>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</si>
  <si>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</si>
  <si>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</si>
  <si>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</si>
  <si>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</si>
  <si>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</si>
  <si>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</si>
  <si>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</si>
  <si>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</si>
  <si>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</si>
  <si>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</si>
  <si>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</si>
  <si>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</si>
  <si>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</si>
  <si>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</si>
  <si>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</si>
  <si>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</si>
  <si>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</si>
  <si>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</si>
  <si>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</si>
  <si>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</si>
  <si>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</si>
  <si>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</si>
  <si>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</si>
  <si>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</si>
  <si>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</si>
  <si>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</si>
  <si>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</si>
  <si>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</si>
  <si>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</si>
  <si>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</si>
  <si>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</si>
  <si>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</si>
  <si>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</si>
  <si>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</si>
  <si>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</si>
  <si>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</si>
  <si>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</si>
  <si>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</si>
  <si>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</si>
  <si>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</si>
  <si>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</si>
  <si>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</si>
  <si>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</si>
  <si>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</si>
  <si>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</si>
  <si>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</si>
  <si>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</si>
  <si>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</si>
  <si>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</si>
  <si>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</si>
  <si>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</si>
  <si>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</si>
  <si>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</si>
  <si>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</si>
  <si>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</si>
  <si>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</si>
  <si>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</si>
  <si>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</si>
  <si>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</si>
  <si>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</si>
  <si>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</si>
  <si>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</si>
  <si>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</si>
  <si>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</si>
  <si>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</si>
  <si>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</si>
  <si>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</si>
  <si>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</si>
  <si>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</si>
  <si>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</si>
  <si>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</si>
  <si>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</si>
  <si>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</si>
  <si>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</si>
  <si>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</si>
  <si>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</si>
  <si>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</si>
  <si>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</si>
  <si>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</si>
  <si>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</si>
  <si>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</si>
  <si>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</si>
  <si>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</si>
  <si>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</si>
  <si>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</si>
  <si>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</si>
  <si>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</si>
  <si>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</si>
  <si>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</si>
  <si>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</si>
  <si>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</si>
  <si>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</si>
  <si>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</si>
  <si>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</si>
  <si>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</si>
  <si>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</si>
  <si>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</si>
  <si>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</si>
  <si>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</si>
  <si>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</si>
  <si>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</si>
  <si>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</si>
  <si>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</si>
  <si>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</si>
  <si>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</si>
  <si>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</si>
  <si>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</si>
  <si>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</si>
  <si>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</si>
  <si>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</si>
  <si>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</si>
  <si>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</si>
  <si>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</si>
  <si>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</si>
  <si>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</si>
  <si>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</si>
  <si>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</si>
  <si>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</si>
  <si>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</si>
  <si>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</si>
  <si>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</si>
  <si>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</si>
  <si>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</si>
  <si>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</si>
  <si>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</si>
  <si>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</si>
  <si>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</si>
  <si>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</si>
  <si>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</si>
  <si>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</si>
  <si>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</si>
  <si>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</si>
  <si>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</si>
  <si>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</si>
  <si>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</si>
  <si>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</si>
  <si>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</si>
  <si>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</si>
  <si>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</si>
  <si>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</si>
  <si>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</si>
  <si>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</si>
  <si>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</si>
  <si>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</si>
  <si>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</si>
  <si>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</si>
  <si>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</si>
  <si>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</si>
  <si>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</si>
  <si>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</si>
  <si>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</si>
  <si>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</si>
  <si>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</si>
  <si>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</si>
  <si>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</si>
  <si>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</si>
  <si>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</si>
  <si>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</si>
  <si>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</si>
  <si>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</si>
  <si>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</si>
  <si>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</si>
  <si>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</si>
  <si>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</si>
  <si>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</si>
  <si>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</si>
  <si>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</si>
  <si>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</si>
  <si>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</si>
  <si>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</si>
  <si>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</si>
  <si>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</si>
  <si>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</si>
  <si>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</si>
  <si>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</si>
  <si>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</si>
  <si>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</si>
  <si>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</si>
  <si>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</si>
  <si>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</si>
  <si>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</si>
  <si>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</si>
  <si>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</si>
  <si>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</si>
  <si>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</si>
  <si>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</si>
  <si>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</si>
  <si>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</si>
  <si>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</si>
  <si>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</si>
  <si>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</si>
  <si>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</si>
  <si>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</si>
  <si>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</si>
  <si>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</si>
  <si>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</si>
  <si>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</si>
  <si>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</si>
  <si>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</si>
  <si>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</si>
  <si>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</si>
  <si>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</si>
  <si>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</si>
  <si>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</si>
  <si>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</si>
  <si>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</si>
  <si>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</si>
  <si>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</si>
  <si>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</si>
  <si>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</si>
  <si>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</si>
  <si>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</si>
  <si>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</si>
  <si>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</si>
  <si>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</si>
  <si>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</si>
  <si>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</si>
  <si>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</si>
  <si>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</si>
  <si>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</si>
  <si>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</si>
  <si>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</si>
  <si>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</si>
  <si>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</si>
  <si>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</si>
  <si>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</si>
  <si>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</si>
  <si>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</si>
  <si>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</si>
  <si>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</si>
  <si>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</si>
  <si>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</si>
  <si>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</si>
  <si>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</si>
  <si>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</si>
  <si>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</si>
  <si>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</si>
  <si>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</si>
  <si>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</si>
  <si>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</si>
  <si>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</si>
  <si>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</si>
  <si>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</si>
  <si>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</si>
  <si>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</si>
  <si>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</si>
  <si>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</si>
  <si>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</si>
  <si>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</si>
  <si>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</si>
  <si>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</si>
  <si>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</si>
  <si>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</si>
  <si>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</si>
  <si>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</si>
  <si>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</si>
  <si>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</si>
  <si>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</si>
  <si>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</si>
  <si>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</si>
  <si>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</si>
  <si>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</si>
  <si>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</si>
  <si>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</si>
  <si>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</si>
  <si>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</si>
  <si>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</si>
  <si>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</si>
  <si>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</si>
  <si>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</si>
  <si>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</si>
  <si>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</si>
  <si>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</si>
  <si>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</si>
  <si>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</si>
  <si>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</si>
  <si>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</si>
  <si>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</si>
  <si>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</si>
  <si>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</si>
  <si>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</si>
  <si>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</si>
  <si>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</si>
  <si>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</si>
  <si>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</si>
  <si>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</si>
  <si>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</si>
  <si>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</si>
  <si>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</si>
  <si>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</si>
  <si>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</si>
  <si>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</si>
  <si>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</si>
  <si>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</si>
  <si>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</si>
  <si>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</si>
  <si>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</si>
  <si>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</si>
  <si>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</si>
  <si>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</si>
  <si>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</si>
  <si>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</si>
  <si>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</si>
  <si>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</si>
  <si>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</si>
  <si>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</si>
  <si>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</si>
  <si>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</si>
  <si>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</si>
  <si>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</si>
  <si>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</si>
  <si>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</si>
  <si>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</si>
  <si>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</si>
  <si>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</si>
  <si>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</si>
  <si>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</si>
  <si>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</si>
  <si>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</si>
  <si>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</si>
  <si>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</si>
  <si>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</si>
  <si>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</si>
  <si>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</si>
  <si>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</si>
  <si>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</si>
  <si>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</si>
  <si>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</si>
  <si>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</si>
  <si>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</si>
  <si>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</si>
  <si>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</si>
  <si>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</si>
  <si>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</si>
  <si>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</si>
  <si>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</si>
  <si>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</si>
  <si>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</si>
  <si>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</si>
  <si>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</si>
  <si>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</si>
  <si>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</si>
  <si>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</si>
  <si>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</si>
  <si>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</si>
  <si>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</si>
  <si>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</si>
  <si>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</si>
  <si>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</si>
  <si>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</si>
  <si>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</si>
  <si>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</si>
  <si>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</si>
  <si>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</si>
  <si>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</si>
  <si>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</si>
  <si>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</si>
  <si>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</si>
  <si>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</si>
  <si>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</si>
  <si>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</si>
  <si>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</si>
  <si>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</si>
  <si>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</si>
  <si>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</si>
  <si>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</si>
  <si>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</si>
  <si>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</si>
  <si>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</si>
  <si>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</si>
  <si>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</si>
  <si>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</si>
  <si>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</si>
  <si>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</si>
  <si>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</si>
  <si>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</si>
  <si>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</si>
  <si>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</si>
  <si>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</si>
  <si>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</si>
  <si>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</si>
  <si>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</si>
  <si>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</si>
  <si>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</si>
  <si>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</si>
  <si>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</si>
  <si>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</si>
  <si>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</si>
  <si>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</si>
  <si>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</si>
  <si>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</si>
  <si>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</si>
  <si>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</si>
  <si>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</si>
  <si>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</si>
  <si>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</si>
  <si>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</si>
  <si>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Precious Metal Sales, Inc.</t>
  </si>
  <si>
    <t>100 New Wood Rd, Watertown, CT 06795</t>
  </si>
  <si>
    <t>Krista Upson</t>
  </si>
  <si>
    <t>8602748813</t>
  </si>
  <si>
    <t>krista@pmsalesinc.com</t>
  </si>
  <si>
    <t>Anthony Luccaro</t>
  </si>
  <si>
    <t>President</t>
  </si>
  <si>
    <t>here4u@pmsalesinc.com</t>
  </si>
  <si>
    <t>Potassium Gold Cyanide (PGC) is solely manufactured from recycled and scrap sources.</t>
  </si>
  <si>
    <t>AURUNA Gold Solution CAP 50 is solely manufactured from recycled sources.</t>
  </si>
  <si>
    <t>We do require but not validated by a third party.</t>
  </si>
  <si>
    <t xml:space="preserve"> CAHRA’s does not -in any way- finance armed groups, forced labour and other human rights abuses, or support corruption and money laundering. </t>
  </si>
  <si>
    <t>Metalor Technologies is a LBMA Good delivery refiner</t>
  </si>
  <si>
    <t>cid001157</t>
  </si>
  <si>
    <t>255 Jonh L. Dietsch Boulevard</t>
  </si>
  <si>
    <t>Samantha McCourt</t>
  </si>
  <si>
    <t>Samantha.McCourt@metalor.com</t>
  </si>
  <si>
    <t>Mining, recycled and scrap sources</t>
  </si>
  <si>
    <t xml:space="preserve">One smelter declares that it does business with very limited industrial mines situated in CAHRA’s. All customers operating in these areas are part of international listed companies </t>
  </si>
  <si>
    <t>with a very strong commitment to compliance. All those companies meet all requirements of the smelters due diligence and compliance process in line with LBMA, RJC and OECD guidelines. Their business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</si>
</sst>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64">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protection locked="0"/>
    </xf>
    <xf numFmtId="0" fontId="0" fillId="0" borderId="65" xfId="0" applyFont="1" applyFill="1" applyBorder="1" applyAlignment="1" applyProtection="1">
      <alignment horizontal="left" vertical="center"/>
      <protection locked="0"/>
    </xf>
    <xf numFmtId="0" fontId="0" fillId="33" borderId="42" xfId="0" applyFont="1" applyFill="1" applyBorder="1" applyAlignment="1" applyProtection="1">
      <alignment horizontal="left" vertical="center" wrapText="1"/>
      <protection locked="0"/>
    </xf>
    <xf numFmtId="0" fontId="0" fillId="33" borderId="42" xfId="0" applyFont="1" applyFill="1" applyBorder="1" applyAlignment="1" applyProtection="1">
      <alignment horizontal="left" vertical="center" wrapText="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82ADA76E-F1FD-4E67-9C98-283A748D4D6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rista@pmsalesin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e4u@pmsalesin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9"/>
      <c r="B2" s="35" t="s">
        <v>847</v>
      </c>
      <c r="C2" s="33"/>
      <c r="D2" s="199"/>
      <c r="E2" s="3"/>
      <c r="F2" s="33"/>
      <c r="G2" s="31"/>
    </row>
    <row r="3" spans="1:7">
      <c r="A3" s="379"/>
      <c r="B3" s="5" t="s">
        <v>839</v>
      </c>
      <c r="C3" s="6"/>
      <c r="D3" s="200"/>
      <c r="E3" s="3"/>
      <c r="F3" s="6"/>
      <c r="G3" s="31"/>
    </row>
    <row r="4" spans="1:7" ht="15.75">
      <c r="A4" s="379"/>
      <c r="B4" s="38" t="s">
        <v>849</v>
      </c>
      <c r="C4" s="7"/>
      <c r="D4" s="201"/>
      <c r="E4" s="3"/>
      <c r="F4" s="7"/>
      <c r="G4" s="31"/>
    </row>
    <row r="5" spans="1:7">
      <c r="A5" s="379"/>
      <c r="B5" s="37" t="s">
        <v>1040</v>
      </c>
      <c r="C5" s="4"/>
      <c r="D5" s="202"/>
      <c r="E5" s="3"/>
      <c r="F5" s="4"/>
      <c r="G5" s="31"/>
    </row>
    <row r="6" spans="1:7">
      <c r="A6" s="379"/>
      <c r="B6" s="8"/>
      <c r="C6" s="8"/>
      <c r="D6" s="203"/>
      <c r="E6" s="8"/>
      <c r="F6" s="8"/>
      <c r="G6" s="31"/>
    </row>
    <row r="7" spans="1:7">
      <c r="A7" s="379"/>
      <c r="B7" s="8"/>
      <c r="C7" s="8"/>
      <c r="D7" s="203"/>
      <c r="E7" s="8"/>
      <c r="F7" s="8"/>
      <c r="G7" s="31"/>
    </row>
    <row r="8" spans="1:7">
      <c r="A8" s="379"/>
      <c r="B8" s="8"/>
      <c r="C8" s="8"/>
      <c r="D8" s="203"/>
      <c r="E8" s="8"/>
      <c r="F8" s="8"/>
      <c r="G8" s="31"/>
    </row>
    <row r="9" spans="1:7">
      <c r="A9" s="379"/>
      <c r="B9" s="382" t="s">
        <v>850</v>
      </c>
      <c r="C9" s="382"/>
      <c r="D9" s="382"/>
      <c r="E9" s="382"/>
      <c r="F9" s="382"/>
      <c r="G9" s="31"/>
    </row>
    <row r="10" spans="1:7" ht="27" customHeight="1">
      <c r="A10" s="379"/>
      <c r="B10" s="383" t="s">
        <v>438</v>
      </c>
      <c r="C10" s="383"/>
      <c r="D10" s="383"/>
      <c r="E10" s="383"/>
      <c r="F10" s="383"/>
      <c r="G10" s="31"/>
    </row>
    <row r="11" spans="1:7" ht="27" customHeight="1">
      <c r="A11" s="379"/>
      <c r="B11" s="384"/>
      <c r="C11" s="384"/>
      <c r="D11" s="384"/>
      <c r="E11" s="384"/>
      <c r="F11" s="384"/>
      <c r="G11" s="31"/>
    </row>
    <row r="12" spans="1:7">
      <c r="A12" s="379"/>
      <c r="B12" s="39" t="s">
        <v>848</v>
      </c>
      <c r="C12" s="40" t="s">
        <v>851</v>
      </c>
      <c r="D12" s="204" t="s">
        <v>852</v>
      </c>
      <c r="E12" s="40" t="s">
        <v>612</v>
      </c>
      <c r="F12" s="40" t="s">
        <v>613</v>
      </c>
      <c r="G12" s="31"/>
    </row>
    <row r="13" spans="1:7" ht="33.75">
      <c r="A13" s="379"/>
      <c r="B13" s="2">
        <v>1</v>
      </c>
      <c r="C13" s="34" t="s">
        <v>1088</v>
      </c>
      <c r="D13" s="36" t="s">
        <v>876</v>
      </c>
      <c r="E13" s="187" t="s">
        <v>853</v>
      </c>
      <c r="F13" s="187"/>
      <c r="G13" s="31"/>
    </row>
    <row r="14" spans="1:7" ht="33.75">
      <c r="A14" s="379"/>
      <c r="B14" s="2">
        <v>2</v>
      </c>
      <c r="C14" s="34" t="s">
        <v>1088</v>
      </c>
      <c r="D14" s="36" t="s">
        <v>1025</v>
      </c>
      <c r="E14" s="187" t="s">
        <v>530</v>
      </c>
      <c r="F14" s="187" t="s">
        <v>531</v>
      </c>
      <c r="G14" s="31"/>
    </row>
    <row r="15" spans="1:7" ht="89.1" customHeight="1">
      <c r="A15" s="379"/>
      <c r="B15" s="364">
        <v>2.0099999999999998</v>
      </c>
      <c r="C15" s="376" t="s">
        <v>1088</v>
      </c>
      <c r="D15" s="385" t="s">
        <v>2263</v>
      </c>
      <c r="E15" s="188" t="s">
        <v>614</v>
      </c>
      <c r="F15" s="188" t="s">
        <v>617</v>
      </c>
      <c r="G15" s="31"/>
    </row>
    <row r="16" spans="1:7" ht="99" customHeight="1">
      <c r="A16" s="379"/>
      <c r="B16" s="365"/>
      <c r="C16" s="377"/>
      <c r="D16" s="386"/>
      <c r="E16" s="189"/>
      <c r="F16" s="189" t="s">
        <v>615</v>
      </c>
      <c r="G16" s="31"/>
    </row>
    <row r="17" spans="1:7" ht="63" customHeight="1">
      <c r="A17" s="379"/>
      <c r="B17" s="366"/>
      <c r="C17" s="378"/>
      <c r="D17" s="387"/>
      <c r="E17" s="34"/>
      <c r="F17" s="34" t="s">
        <v>616</v>
      </c>
      <c r="G17" s="31"/>
    </row>
    <row r="18" spans="1:7" ht="117" customHeight="1">
      <c r="A18" s="379"/>
      <c r="B18" s="364">
        <v>2.02</v>
      </c>
      <c r="C18" s="376" t="s">
        <v>1088</v>
      </c>
      <c r="D18" s="385" t="s">
        <v>2264</v>
      </c>
      <c r="E18" s="188" t="s">
        <v>439</v>
      </c>
      <c r="F18" s="188" t="s">
        <v>525</v>
      </c>
      <c r="G18" s="31"/>
    </row>
    <row r="19" spans="1:7" ht="71.099999999999994" customHeight="1">
      <c r="A19" s="379"/>
      <c r="B19" s="365"/>
      <c r="C19" s="377"/>
      <c r="D19" s="386"/>
      <c r="E19" s="189" t="s">
        <v>529</v>
      </c>
      <c r="F19" s="189" t="s">
        <v>440</v>
      </c>
      <c r="G19" s="31"/>
    </row>
    <row r="20" spans="1:7" ht="90.75" customHeight="1">
      <c r="A20" s="379"/>
      <c r="B20" s="365"/>
      <c r="C20" s="377"/>
      <c r="D20" s="386"/>
      <c r="E20" s="189"/>
      <c r="F20" s="189" t="s">
        <v>619</v>
      </c>
      <c r="G20" s="31"/>
    </row>
    <row r="21" spans="1:7" ht="74.25" customHeight="1">
      <c r="A21" s="379"/>
      <c r="B21" s="366"/>
      <c r="C21" s="378"/>
      <c r="D21" s="387"/>
      <c r="E21" s="34"/>
      <c r="F21" s="34" t="s">
        <v>618</v>
      </c>
      <c r="G21" s="31"/>
    </row>
    <row r="22" spans="1:7" ht="90" customHeight="1">
      <c r="A22" s="379"/>
      <c r="B22" s="370">
        <v>2.0299999999999998</v>
      </c>
      <c r="C22" s="370" t="s">
        <v>822</v>
      </c>
      <c r="D22" s="373" t="s">
        <v>2265</v>
      </c>
      <c r="E22" s="376" t="s">
        <v>437</v>
      </c>
      <c r="F22" s="188" t="s">
        <v>460</v>
      </c>
      <c r="G22" s="31"/>
    </row>
    <row r="23" spans="1:7" ht="109.5" customHeight="1">
      <c r="A23" s="379"/>
      <c r="B23" s="371"/>
      <c r="C23" s="371"/>
      <c r="D23" s="374"/>
      <c r="E23" s="377"/>
      <c r="F23" s="189" t="s">
        <v>823</v>
      </c>
      <c r="G23" s="31"/>
    </row>
    <row r="24" spans="1:7" ht="74.25" customHeight="1">
      <c r="A24" s="379"/>
      <c r="B24" s="372"/>
      <c r="C24" s="372"/>
      <c r="D24" s="375"/>
      <c r="E24" s="378"/>
      <c r="F24" s="34" t="s">
        <v>436</v>
      </c>
      <c r="G24" s="31"/>
    </row>
    <row r="25" spans="1:7" ht="72" customHeight="1">
      <c r="A25" s="379"/>
      <c r="B25" s="2" t="s">
        <v>458</v>
      </c>
      <c r="C25" s="34" t="s">
        <v>459</v>
      </c>
      <c r="D25" s="36" t="s">
        <v>2266</v>
      </c>
      <c r="E25" s="34" t="s">
        <v>2261</v>
      </c>
      <c r="F25" s="34" t="s">
        <v>461</v>
      </c>
      <c r="G25" s="31"/>
    </row>
    <row r="26" spans="1:7" ht="98.1" customHeight="1">
      <c r="A26" s="379"/>
      <c r="B26" s="367">
        <v>3</v>
      </c>
      <c r="C26" s="364" t="s">
        <v>70</v>
      </c>
      <c r="D26" s="385" t="s">
        <v>2267</v>
      </c>
      <c r="E26" s="376" t="s">
        <v>0</v>
      </c>
      <c r="F26" s="188" t="s">
        <v>64</v>
      </c>
      <c r="G26" s="31"/>
    </row>
    <row r="27" spans="1:7" ht="90" customHeight="1">
      <c r="A27" s="379"/>
      <c r="B27" s="368"/>
      <c r="C27" s="365"/>
      <c r="D27" s="386"/>
      <c r="E27" s="377"/>
      <c r="F27" s="189" t="s">
        <v>59</v>
      </c>
      <c r="G27" s="31"/>
    </row>
    <row r="28" spans="1:7" ht="19.350000000000001" customHeight="1">
      <c r="A28" s="379"/>
      <c r="B28" s="368"/>
      <c r="C28" s="365"/>
      <c r="D28" s="386"/>
      <c r="E28" s="377"/>
      <c r="F28" s="189" t="s">
        <v>60</v>
      </c>
      <c r="G28" s="31"/>
    </row>
    <row r="29" spans="1:7" ht="74.650000000000006" customHeight="1">
      <c r="A29" s="379"/>
      <c r="B29" s="368"/>
      <c r="C29" s="365"/>
      <c r="D29" s="386"/>
      <c r="E29" s="377"/>
      <c r="F29" s="189" t="s">
        <v>61</v>
      </c>
      <c r="G29" s="31"/>
    </row>
    <row r="30" spans="1:7" ht="62.65" customHeight="1">
      <c r="A30" s="379"/>
      <c r="B30" s="368"/>
      <c r="C30" s="365"/>
      <c r="D30" s="386"/>
      <c r="E30" s="377"/>
      <c r="F30" s="189" t="s">
        <v>62</v>
      </c>
      <c r="G30" s="31"/>
    </row>
    <row r="31" spans="1:7" ht="81" customHeight="1">
      <c r="A31" s="379"/>
      <c r="B31" s="368"/>
      <c r="C31" s="365"/>
      <c r="D31" s="386"/>
      <c r="E31" s="377"/>
      <c r="F31" s="189" t="s">
        <v>63</v>
      </c>
      <c r="G31" s="31"/>
    </row>
    <row r="32" spans="1:7" ht="48.75" customHeight="1">
      <c r="A32" s="379"/>
      <c r="B32" s="368"/>
      <c r="C32" s="365"/>
      <c r="D32" s="386"/>
      <c r="E32" s="377"/>
      <c r="F32" s="189" t="s">
        <v>66</v>
      </c>
      <c r="G32" s="31"/>
    </row>
    <row r="33" spans="1:7" ht="98.65" customHeight="1">
      <c r="A33" s="379"/>
      <c r="B33" s="368"/>
      <c r="C33" s="365"/>
      <c r="D33" s="386"/>
      <c r="E33" s="377"/>
      <c r="F33" s="189" t="s">
        <v>65</v>
      </c>
      <c r="G33" s="31"/>
    </row>
    <row r="34" spans="1:7" ht="89.1" customHeight="1">
      <c r="A34" s="379"/>
      <c r="B34" s="368"/>
      <c r="C34" s="365"/>
      <c r="D34" s="386"/>
      <c r="E34" s="377"/>
      <c r="F34" s="189" t="s">
        <v>67</v>
      </c>
      <c r="G34" s="31"/>
    </row>
    <row r="35" spans="1:7" ht="29.1" customHeight="1">
      <c r="A35" s="379"/>
      <c r="B35" s="368"/>
      <c r="C35" s="365"/>
      <c r="D35" s="386"/>
      <c r="E35" s="377"/>
      <c r="F35" s="189" t="s">
        <v>68</v>
      </c>
      <c r="G35" s="31"/>
    </row>
    <row r="36" spans="1:7" ht="126.75">
      <c r="A36" s="379"/>
      <c r="B36" s="369"/>
      <c r="C36" s="366"/>
      <c r="D36" s="387"/>
      <c r="E36" s="378"/>
      <c r="F36" s="190" t="s">
        <v>69</v>
      </c>
      <c r="G36" s="31"/>
    </row>
    <row r="37" spans="1:7" ht="112.5">
      <c r="A37" s="379"/>
      <c r="B37" s="163">
        <v>3.01</v>
      </c>
      <c r="C37" s="164" t="s">
        <v>70</v>
      </c>
      <c r="D37" s="36" t="s">
        <v>2268</v>
      </c>
      <c r="E37" s="191" t="s">
        <v>1328</v>
      </c>
      <c r="F37" s="192" t="s">
        <v>1434</v>
      </c>
      <c r="G37" s="31"/>
    </row>
    <row r="38" spans="1:7" ht="101.25">
      <c r="A38" s="379"/>
      <c r="B38" s="163">
        <v>3.02</v>
      </c>
      <c r="C38" s="164" t="s">
        <v>1361</v>
      </c>
      <c r="D38" s="36" t="s">
        <v>2269</v>
      </c>
      <c r="E38" s="191" t="s">
        <v>1376</v>
      </c>
      <c r="F38" s="192" t="s">
        <v>1435</v>
      </c>
      <c r="G38" s="31"/>
    </row>
    <row r="39" spans="1:7" ht="101.25">
      <c r="A39" s="379"/>
      <c r="B39" s="173">
        <v>4</v>
      </c>
      <c r="C39" s="172" t="s">
        <v>1531</v>
      </c>
      <c r="D39" s="36" t="s">
        <v>2270</v>
      </c>
      <c r="E39" s="34" t="s">
        <v>2213</v>
      </c>
      <c r="F39" s="34" t="s">
        <v>1532</v>
      </c>
      <c r="G39" s="31"/>
    </row>
    <row r="40" spans="1:7" ht="56.25">
      <c r="A40" s="379"/>
      <c r="B40" s="163">
        <v>4.01</v>
      </c>
      <c r="C40" s="172" t="s">
        <v>1531</v>
      </c>
      <c r="D40" s="36" t="s">
        <v>2272</v>
      </c>
      <c r="E40" s="34" t="s">
        <v>2227</v>
      </c>
      <c r="F40" s="34" t="s">
        <v>2231</v>
      </c>
      <c r="G40" s="31"/>
    </row>
    <row r="41" spans="1:7" ht="56.25">
      <c r="A41" s="379"/>
      <c r="B41" s="163" t="s">
        <v>2259</v>
      </c>
      <c r="C41" s="172" t="s">
        <v>1531</v>
      </c>
      <c r="D41" s="36" t="s">
        <v>2271</v>
      </c>
      <c r="E41" s="34" t="s">
        <v>2262</v>
      </c>
      <c r="F41" s="34" t="s">
        <v>2260</v>
      </c>
      <c r="G41" s="31"/>
    </row>
    <row r="42" spans="1:7" ht="56.25">
      <c r="A42" s="379"/>
      <c r="B42" s="163" t="s">
        <v>2295</v>
      </c>
      <c r="C42" s="172" t="s">
        <v>1531</v>
      </c>
      <c r="D42" s="36" t="s">
        <v>2302</v>
      </c>
      <c r="E42" s="34" t="s">
        <v>2261</v>
      </c>
      <c r="F42" s="34" t="s">
        <v>2296</v>
      </c>
      <c r="G42" s="31"/>
    </row>
    <row r="43" spans="1:7" ht="123.75">
      <c r="A43" s="379"/>
      <c r="B43" s="184">
        <v>4.0999999999999996</v>
      </c>
      <c r="C43" s="172" t="s">
        <v>2301</v>
      </c>
      <c r="D43" s="185">
        <v>42867</v>
      </c>
      <c r="E43" s="193" t="s">
        <v>2304</v>
      </c>
      <c r="F43" s="34" t="s">
        <v>2303</v>
      </c>
      <c r="G43" s="31"/>
    </row>
    <row r="44" spans="1:7" ht="78.75">
      <c r="A44" s="379"/>
      <c r="B44" s="184">
        <v>4.2</v>
      </c>
      <c r="C44" s="172" t="s">
        <v>2301</v>
      </c>
      <c r="D44" s="185">
        <v>42704</v>
      </c>
      <c r="E44" s="193" t="s">
        <v>2503</v>
      </c>
      <c r="F44" s="34" t="s">
        <v>2478</v>
      </c>
      <c r="G44" s="31"/>
    </row>
    <row r="45" spans="1:7" ht="157.5">
      <c r="A45" s="379"/>
      <c r="B45" s="233">
        <v>5</v>
      </c>
      <c r="C45" s="172" t="s">
        <v>2301</v>
      </c>
      <c r="D45" s="185">
        <v>42867</v>
      </c>
      <c r="E45" s="193" t="s">
        <v>12784</v>
      </c>
      <c r="F45" s="34" t="s">
        <v>12506</v>
      </c>
      <c r="G45" s="31"/>
    </row>
    <row r="46" spans="1:7" ht="45">
      <c r="A46" s="379"/>
      <c r="B46" s="184">
        <v>5.01</v>
      </c>
      <c r="C46" s="172" t="s">
        <v>2301</v>
      </c>
      <c r="D46" s="185">
        <v>42907</v>
      </c>
      <c r="E46" s="193" t="s">
        <v>15650</v>
      </c>
      <c r="F46" s="34" t="s">
        <v>12506</v>
      </c>
      <c r="G46" s="31"/>
    </row>
    <row r="47" spans="1:7" ht="67.5">
      <c r="A47" s="379"/>
      <c r="B47" s="184">
        <v>5.0999999999999996</v>
      </c>
      <c r="C47" s="172" t="s">
        <v>2301</v>
      </c>
      <c r="D47" s="185">
        <v>43070</v>
      </c>
      <c r="E47" s="193" t="s">
        <v>12994</v>
      </c>
      <c r="F47" s="34" t="s">
        <v>12995</v>
      </c>
      <c r="G47" s="31"/>
    </row>
    <row r="48" spans="1:7" ht="56.25">
      <c r="A48" s="379"/>
      <c r="B48" s="184">
        <v>5.1100000000000003</v>
      </c>
      <c r="C48" s="172" t="s">
        <v>13232</v>
      </c>
      <c r="D48" s="185">
        <v>43217</v>
      </c>
      <c r="E48" s="193" t="s">
        <v>13358</v>
      </c>
      <c r="F48" s="34" t="s">
        <v>13266</v>
      </c>
      <c r="G48" s="31"/>
    </row>
    <row r="49" spans="1:7" ht="56.25">
      <c r="A49" s="379"/>
      <c r="B49" s="184">
        <v>5.12</v>
      </c>
      <c r="C49" s="172" t="s">
        <v>13232</v>
      </c>
      <c r="D49" s="185">
        <v>43581</v>
      </c>
      <c r="E49" s="193" t="s">
        <v>13358</v>
      </c>
      <c r="F49" s="34" t="s">
        <v>13920</v>
      </c>
      <c r="G49" s="31"/>
    </row>
    <row r="50" spans="1:7" ht="78.75">
      <c r="A50" s="379"/>
      <c r="B50" s="233">
        <v>6</v>
      </c>
      <c r="C50" s="172" t="s">
        <v>13232</v>
      </c>
      <c r="D50" s="185">
        <v>43964</v>
      </c>
      <c r="E50" s="193" t="s">
        <v>14138</v>
      </c>
      <c r="F50" s="34" t="s">
        <v>13925</v>
      </c>
      <c r="G50" s="31"/>
    </row>
    <row r="51" spans="1:7" ht="45">
      <c r="A51" s="379"/>
      <c r="B51" s="184">
        <v>6.01</v>
      </c>
      <c r="C51" s="172" t="s">
        <v>13232</v>
      </c>
      <c r="D51" s="185">
        <v>43970</v>
      </c>
      <c r="E51" s="193" t="s">
        <v>15651</v>
      </c>
      <c r="F51" s="193" t="s">
        <v>13925</v>
      </c>
      <c r="G51" s="31"/>
    </row>
    <row r="52" spans="1:7" ht="45">
      <c r="A52" s="379"/>
      <c r="B52" s="184">
        <v>6.1</v>
      </c>
      <c r="C52" s="172" t="s">
        <v>13232</v>
      </c>
      <c r="D52" s="185">
        <v>44314</v>
      </c>
      <c r="E52" s="193" t="s">
        <v>15631</v>
      </c>
      <c r="F52" s="193" t="s">
        <v>15144</v>
      </c>
      <c r="G52" s="31"/>
    </row>
    <row r="53" spans="1:7" ht="45">
      <c r="A53" s="379"/>
      <c r="B53" s="184">
        <v>6.2</v>
      </c>
      <c r="C53" s="172" t="s">
        <v>13232</v>
      </c>
      <c r="D53" s="185">
        <v>44678</v>
      </c>
      <c r="E53" s="193" t="s">
        <v>15631</v>
      </c>
      <c r="F53" s="193" t="s">
        <v>15624</v>
      </c>
      <c r="G53" s="31"/>
    </row>
    <row r="54" spans="1:7" ht="45">
      <c r="A54" s="379"/>
      <c r="B54" s="184">
        <v>6.21</v>
      </c>
      <c r="C54" s="172" t="s">
        <v>13232</v>
      </c>
      <c r="D54" s="185">
        <v>44687</v>
      </c>
      <c r="E54" s="193" t="s">
        <v>15652</v>
      </c>
      <c r="F54" s="193" t="s">
        <v>15624</v>
      </c>
      <c r="G54" s="31"/>
    </row>
    <row r="55" spans="1:7" ht="45">
      <c r="A55" s="379"/>
      <c r="B55" s="184">
        <v>6.22</v>
      </c>
      <c r="C55" s="172" t="s">
        <v>13232</v>
      </c>
      <c r="D55" s="348">
        <v>44692</v>
      </c>
      <c r="E55" s="193" t="s">
        <v>15651</v>
      </c>
      <c r="F55" s="193" t="s">
        <v>15624</v>
      </c>
      <c r="G55" s="31"/>
    </row>
    <row r="56" spans="1:7" ht="13.5" thickBot="1">
      <c r="A56" s="380"/>
      <c r="B56" s="381" t="str">
        <f ca="1">OFFSET(L!$C$1,MATCH("General"&amp;"Cpy",L!$A:$A,0)-1,SL,,)</f>
        <v>© 2022 Responsible Minerals Initiative. All rights reserved.</v>
      </c>
      <c r="C56" s="381"/>
      <c r="D56" s="381"/>
      <c r="E56" s="381"/>
      <c r="F56" s="38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2DBED61-B5C6-4EB5-8A3F-81ED90D1170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6D2ADB2-26BA-478F-8B87-94E77F7E2A1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8"/>
      <c r="B1" s="389"/>
      <c r="C1" s="389"/>
      <c r="D1" s="390"/>
    </row>
    <row r="2" spans="1:5" ht="71.25" customHeight="1">
      <c r="A2" s="84"/>
      <c r="B2" s="159" t="str">
        <f ca="1">OFFSET(L!$C$1,MATCH("Definitions"&amp;ADDRESS(ROW(),COLUMN(),4),L!$A:$A,0)-1,SL,,)</f>
        <v>ITEM</v>
      </c>
      <c r="C2" s="159" t="str">
        <f ca="1">OFFSET(L!$C$1,MATCH("Definitions"&amp;ADDRESS(ROW(),COLUMN(),4),L!$A:$A,0)-1,SL,,)</f>
        <v>DEFINITION</v>
      </c>
      <c r="D2" s="392"/>
      <c r="E2" s="121"/>
    </row>
    <row r="3" spans="1:5" ht="64.150000000000006" customHeight="1">
      <c r="A3" s="84"/>
      <c r="B3" s="71" t="str">
        <f ca="1">OFFSET(L!$C$1,MATCH("Definitions"&amp;ADDRESS(ROW(),COLUMN(),4),L!$A:$A,0)-1,SL,,)</f>
        <v>3TG</v>
      </c>
      <c r="C3" s="71" t="str">
        <f ca="1">OFFSET(L!$C$1,MATCH("Definitions"&amp;ADDRESS(ROW(),COLUMN(),4),L!$A:$A,0)-1,SL,,)</f>
        <v>Tantalum, tin, tungsten, gold</v>
      </c>
      <c r="D3" s="392"/>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2"/>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2"/>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2"/>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2"/>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2"/>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2"/>
      <c r="E9" s="122" t="s">
        <v>1313</v>
      </c>
    </row>
    <row r="10" spans="1:5" ht="45">
      <c r="A10" s="84"/>
      <c r="B10" s="71" t="str">
        <f ca="1">OFFSET(L!$C$1,MATCH("Definitions"&amp;ADDRESS(ROW(),COLUMN(),4),L!$A:$A,0)-1,SL,,)</f>
        <v>DRC</v>
      </c>
      <c r="C10" s="71" t="str">
        <f ca="1">OFFSET(L!$C$1,MATCH("Definitions"&amp;ADDRESS(ROW(),COLUMN(),4),L!$A:$A,0)-1,SL,,)</f>
        <v>Democratic Republic of Congo</v>
      </c>
      <c r="D10" s="392"/>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2"/>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2"/>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2"/>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2"/>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2"/>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2"/>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2"/>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2"/>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2"/>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2"/>
      <c r="E20" s="122"/>
    </row>
    <row r="21" spans="1:5" ht="15">
      <c r="A21" s="84"/>
      <c r="B21" s="71" t="str">
        <f ca="1">OFFSET(L!$C$1,MATCH("Definitions"&amp;ADDRESS(ROW(),COLUMN(),4),L!$A:$A,0)-1,SL,,)</f>
        <v>RBA</v>
      </c>
      <c r="C21" s="71" t="str">
        <f ca="1">OFFSET(L!$C$1,MATCH("Definitions"&amp;ADDRESS(ROW(),COLUMN(),4),L!$A:$A,0)-1,SL,,)</f>
        <v>Responsible Business Alliance (www.responsiblebusiness.org)</v>
      </c>
      <c r="D21" s="392"/>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2"/>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2"/>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2"/>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2"/>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2"/>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2"/>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2"/>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2"/>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2"/>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2"/>
      <c r="E31" s="122"/>
    </row>
    <row r="32" spans="1:5" ht="15">
      <c r="A32" s="84"/>
      <c r="B32" s="391" t="str">
        <f ca="1">OFFSET(L!$C$1,MATCH("General"&amp;"Cpy",L!$A:$A,0)-1,SL,,)</f>
        <v>© 2022 Responsible Minerals Initiative. All rights reserved.</v>
      </c>
      <c r="C32" s="391"/>
      <c r="D32" s="392"/>
      <c r="E32" s="122"/>
    </row>
    <row r="33" spans="1:4" ht="13.5" thickBot="1">
      <c r="A33" s="85"/>
      <c r="B33" s="176"/>
      <c r="C33" s="176"/>
      <c r="D33" s="393"/>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50" sqref="G50:J5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5"/>
      <c r="B1" s="426"/>
      <c r="C1" s="426"/>
      <c r="D1" s="426"/>
      <c r="E1" s="426"/>
      <c r="F1" s="426"/>
      <c r="G1" s="426"/>
      <c r="H1" s="426"/>
      <c r="I1" s="426"/>
      <c r="J1" s="426"/>
      <c r="K1" s="427"/>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8" t="str">
        <f ca="1">OFFSET(L!$C$1,MATCH("Declaration"&amp;ADDRESS(ROW(),COLUMN(),4),L!$A:$A,0)-1,SL,,)</f>
        <v>Conflict Minerals Reporting Template (CMRT)</v>
      </c>
      <c r="E2" s="429"/>
      <c r="F2" s="429"/>
      <c r="G2" s="429"/>
      <c r="H2" s="429"/>
      <c r="I2" s="429"/>
      <c r="J2" s="430"/>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8"/>
      <c r="G3" s="438"/>
      <c r="H3" s="438"/>
      <c r="I3" s="175"/>
      <c r="J3" s="160" t="s">
        <v>15654</v>
      </c>
      <c r="K3" s="44"/>
      <c r="L3" s="133"/>
      <c r="M3" s="124"/>
      <c r="N3" s="124"/>
      <c r="O3" s="125"/>
      <c r="P3" s="138">
        <f>MATCH($D$3,LN,0)</f>
        <v>1</v>
      </c>
    </row>
    <row r="4" spans="1:34" ht="15.75">
      <c r="A4" s="42"/>
      <c r="B4" s="434" t="str">
        <f ca="1">OFFSET(L!$C$1,MATCH("Declaration"&amp;ADDRESS(ROW(),COLUMN(),4),L!$A:$A,0)-1,SL,,)</f>
        <v>The purpose of this document is to collect sourcing information on tin, tantalum, tungsten and gold used in products</v>
      </c>
      <c r="C4" s="434"/>
      <c r="D4" s="434"/>
      <c r="E4" s="434"/>
      <c r="F4" s="434"/>
      <c r="G4" s="434"/>
      <c r="H4" s="434"/>
      <c r="I4" s="439" t="str">
        <f ca="1">OFFSET(L!$C$1,MATCH("Declaration"&amp;ADDRESS(ROW(),COLUMN(),4),L!$A:$A,0)-1,SL,,)</f>
        <v>Link to Terms &amp; Conditions</v>
      </c>
      <c r="J4" s="439"/>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3" t="str">
        <f ca="1">OFFSET(L!$C$1,MATCH("Declaration"&amp;ADDRESS(ROW(),COLUMN(),4),L!$A:$A,0)-1,SL,,)</f>
        <v>Company Information</v>
      </c>
      <c r="C7" s="443"/>
      <c r="D7" s="443"/>
      <c r="E7" s="443"/>
      <c r="F7" s="443"/>
      <c r="G7" s="443"/>
      <c r="H7" s="443"/>
      <c r="I7" s="443"/>
      <c r="J7" s="443"/>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31" t="s">
        <v>15655</v>
      </c>
      <c r="E8" s="432"/>
      <c r="F8" s="432"/>
      <c r="G8" s="432"/>
      <c r="H8" s="432"/>
      <c r="I8" s="432"/>
      <c r="J8" s="433"/>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40" t="s">
        <v>494</v>
      </c>
      <c r="E9" s="441"/>
      <c r="F9" s="441"/>
      <c r="G9" s="442"/>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4" t="str">
        <f ca="1">OFFSET(L!$C$1,MATCH("Declaration"&amp;ADDRESS(ROW(),COLUMN(),4)&amp;LEFT($D$9,1),L!$A:$A,0)-1,SL,,)</f>
        <v>Description of Scope:</v>
      </c>
      <c r="C10" s="144"/>
      <c r="D10" s="435"/>
      <c r="E10" s="436"/>
      <c r="F10" s="436"/>
      <c r="G10" s="436"/>
      <c r="H10" s="436"/>
      <c r="I10" s="436"/>
      <c r="J10" s="437"/>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5"/>
      <c r="C11" s="144"/>
      <c r="D11" s="413" t="str">
        <f ca="1">IF(D9=Q9,OFFSET(L!$C$1,MATCH("Declaration"&amp;ADDRESS(ROW(),COLUMN(),4),L!$A:$A,0)-1,SL,,),"")</f>
        <v/>
      </c>
      <c r="E11" s="414"/>
      <c r="F11" s="414"/>
      <c r="G11" s="414"/>
      <c r="H11" s="414"/>
      <c r="I11" s="414"/>
      <c r="J11" s="41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94"/>
      <c r="E12" s="395"/>
      <c r="F12" s="395"/>
      <c r="G12" s="395"/>
      <c r="H12" s="395"/>
      <c r="I12" s="395"/>
      <c r="J12" s="39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94"/>
      <c r="E13" s="395"/>
      <c r="F13" s="395"/>
      <c r="G13" s="395"/>
      <c r="H13" s="395"/>
      <c r="I13" s="395"/>
      <c r="J13" s="39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94" t="s">
        <v>15656</v>
      </c>
      <c r="E14" s="395"/>
      <c r="F14" s="395"/>
      <c r="G14" s="395"/>
      <c r="H14" s="395"/>
      <c r="I14" s="395"/>
      <c r="J14" s="39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149999999999999" customHeight="1">
      <c r="A15" s="46"/>
      <c r="B15" s="48" t="str">
        <f ca="1">OFFSET(L!$C$1,MATCH("Declaration"&amp;ADDRESS(ROW(),COLUMN(),4),L!$A:$A,0)-1,SL,,)</f>
        <v>Contact Name (*):</v>
      </c>
      <c r="C15" s="87"/>
      <c r="D15" s="394" t="s">
        <v>15657</v>
      </c>
      <c r="E15" s="395"/>
      <c r="F15" s="395"/>
      <c r="G15" s="395"/>
      <c r="H15" s="395"/>
      <c r="I15" s="395"/>
      <c r="J15" s="39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6" t="s">
        <v>15659</v>
      </c>
      <c r="E16" s="447"/>
      <c r="F16" s="447"/>
      <c r="G16" s="447"/>
      <c r="H16" s="447"/>
      <c r="I16" s="447"/>
      <c r="J16" s="448"/>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56" t="s">
        <v>15658</v>
      </c>
      <c r="E17" s="357"/>
      <c r="F17" s="357"/>
      <c r="G17" s="357"/>
      <c r="H17" s="357"/>
      <c r="I17" s="357"/>
      <c r="J17" s="35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4" t="s">
        <v>15660</v>
      </c>
      <c r="E18" s="395"/>
      <c r="F18" s="395"/>
      <c r="G18" s="395"/>
      <c r="H18" s="395"/>
      <c r="I18" s="395"/>
      <c r="J18" s="396"/>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4" t="s">
        <v>15661</v>
      </c>
      <c r="E19" s="395"/>
      <c r="F19" s="395"/>
      <c r="G19" s="395"/>
      <c r="H19" s="395"/>
      <c r="I19" s="395"/>
      <c r="J19" s="39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6" t="s">
        <v>15662</v>
      </c>
      <c r="E20" s="447"/>
      <c r="F20" s="447"/>
      <c r="G20" s="447"/>
      <c r="H20" s="447"/>
      <c r="I20" s="447"/>
      <c r="J20" s="448"/>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94" t="s">
        <v>15658</v>
      </c>
      <c r="E21" s="395"/>
      <c r="F21" s="395"/>
      <c r="G21" s="395"/>
      <c r="H21" s="395"/>
      <c r="I21" s="395"/>
      <c r="J21" s="39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9">
        <v>44698</v>
      </c>
      <c r="E22" s="450"/>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1"/>
      <c r="E23" s="421"/>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1" t="str">
        <f ca="1">OFFSET(L!$C$1,MATCH("Declaration"&amp;ADDRESS(ROW(),COLUMN(),4),L!$A:$A,0)-1,SL,,)</f>
        <v>Answer the following questions 1 - 8 based on the declaration scope indicated above</v>
      </c>
      <c r="C24" s="451"/>
      <c r="D24" s="451"/>
      <c r="E24" s="451"/>
      <c r="F24" s="451"/>
      <c r="G24" s="451"/>
      <c r="H24" s="451"/>
      <c r="I24" s="451"/>
      <c r="J24" s="451"/>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4" t="str">
        <f ca="1">OFFSET(L!$C$1,MATCH("Declaration"&amp;ADDRESS(ROW(),COLUMN(),4),L!$A:$A,0)-1,SL,,)</f>
        <v>Answer</v>
      </c>
      <c r="E25" s="404"/>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97" t="s">
        <v>489</v>
      </c>
      <c r="E26" s="398"/>
      <c r="F26" s="15"/>
      <c r="G26" s="399"/>
      <c r="H26" s="400"/>
      <c r="I26" s="400"/>
      <c r="J26" s="401"/>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97" t="s">
        <v>489</v>
      </c>
      <c r="E27" s="398"/>
      <c r="F27" s="15"/>
      <c r="G27" s="399"/>
      <c r="H27" s="400"/>
      <c r="I27" s="400"/>
      <c r="J27" s="401"/>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7" t="s">
        <v>488</v>
      </c>
      <c r="E28" s="398"/>
      <c r="F28" s="15"/>
      <c r="G28" s="399"/>
      <c r="H28" s="400"/>
      <c r="I28" s="400"/>
      <c r="J28" s="401"/>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97" t="s">
        <v>489</v>
      </c>
      <c r="E29" s="398"/>
      <c r="F29" s="15"/>
      <c r="G29" s="399"/>
      <c r="H29" s="400"/>
      <c r="I29" s="400"/>
      <c r="J29" s="401"/>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6" t="str">
        <f ca="1">D25</f>
        <v>Answer</v>
      </c>
      <c r="E31" s="406"/>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16"/>
      <c r="E32" s="417"/>
      <c r="F32" s="55"/>
      <c r="G32" s="399"/>
      <c r="H32" s="400"/>
      <c r="I32" s="400"/>
      <c r="J32" s="401"/>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97"/>
      <c r="E33" s="398"/>
      <c r="F33" s="55"/>
      <c r="G33" s="399"/>
      <c r="H33" s="400"/>
      <c r="I33" s="400"/>
      <c r="J33" s="401"/>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7" t="s">
        <v>488</v>
      </c>
      <c r="E34" s="398"/>
      <c r="F34" s="55"/>
      <c r="G34" s="399"/>
      <c r="H34" s="400"/>
      <c r="I34" s="400"/>
      <c r="J34" s="401"/>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97"/>
      <c r="E35" s="398"/>
      <c r="F35" s="55"/>
      <c r="G35" s="399"/>
      <c r="H35" s="400"/>
      <c r="I35" s="400"/>
      <c r="J35" s="401"/>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6" t="str">
        <f ca="1">D25</f>
        <v>Answer</v>
      </c>
      <c r="E37" s="406"/>
      <c r="F37" s="21"/>
      <c r="G37" s="52" t="str">
        <f ca="1">G25</f>
        <v>Comments</v>
      </c>
      <c r="H37" s="420"/>
      <c r="I37" s="420"/>
      <c r="J37" s="420"/>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97"/>
      <c r="E38" s="398"/>
      <c r="F38" s="55"/>
      <c r="G38" s="399"/>
      <c r="H38" s="400"/>
      <c r="I38" s="400"/>
      <c r="J38" s="401"/>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97"/>
      <c r="E39" s="398"/>
      <c r="F39" s="55"/>
      <c r="G39" s="399"/>
      <c r="H39" s="400"/>
      <c r="I39" s="400"/>
      <c r="J39" s="401"/>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7" t="s">
        <v>489</v>
      </c>
      <c r="E40" s="398"/>
      <c r="F40" s="55"/>
      <c r="G40" s="399"/>
      <c r="H40" s="400"/>
      <c r="I40" s="400"/>
      <c r="J40" s="401"/>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97"/>
      <c r="E41" s="398"/>
      <c r="F41" s="55"/>
      <c r="G41" s="399"/>
      <c r="H41" s="400"/>
      <c r="I41" s="400"/>
      <c r="J41" s="401"/>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6" t="str">
        <f ca="1">D25</f>
        <v>Answer</v>
      </c>
      <c r="E43" s="406"/>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7"/>
      <c r="E44" s="398"/>
      <c r="F44" s="55"/>
      <c r="G44" s="399" t="s">
        <v>15673</v>
      </c>
      <c r="H44" s="400"/>
      <c r="I44" s="400"/>
      <c r="J44" s="401"/>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97"/>
      <c r="E45" s="398"/>
      <c r="F45" s="55"/>
      <c r="G45" s="399" t="s">
        <v>15674</v>
      </c>
      <c r="H45" s="400"/>
      <c r="I45" s="400"/>
      <c r="J45" s="401"/>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7" t="s">
        <v>488</v>
      </c>
      <c r="E46" s="398"/>
      <c r="F46" s="55"/>
      <c r="G46" s="399" t="s">
        <v>15666</v>
      </c>
      <c r="H46" s="400"/>
      <c r="I46" s="400"/>
      <c r="J46" s="401"/>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7"/>
      <c r="E47" s="398"/>
      <c r="F47" s="55"/>
      <c r="G47" s="399"/>
      <c r="H47" s="400"/>
      <c r="I47" s="400"/>
      <c r="J47" s="401"/>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6" t="str">
        <f ca="1">D25</f>
        <v>Answer</v>
      </c>
      <c r="E49" s="406"/>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97"/>
      <c r="E50" s="398"/>
      <c r="F50" s="55"/>
      <c r="G50" s="399"/>
      <c r="H50" s="400"/>
      <c r="I50" s="400"/>
      <c r="J50" s="401"/>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97"/>
      <c r="E51" s="398"/>
      <c r="F51" s="55"/>
      <c r="G51" s="399"/>
      <c r="H51" s="400"/>
      <c r="I51" s="400"/>
      <c r="J51" s="401"/>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7" t="s">
        <v>489</v>
      </c>
      <c r="E52" s="398"/>
      <c r="F52" s="55"/>
      <c r="G52" s="399" t="s">
        <v>15663</v>
      </c>
      <c r="H52" s="400"/>
      <c r="I52" s="400"/>
      <c r="J52" s="401"/>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97"/>
      <c r="E53" s="398"/>
      <c r="F53" s="55"/>
      <c r="G53" s="399" t="s">
        <v>15664</v>
      </c>
      <c r="H53" s="400"/>
      <c r="I53" s="400"/>
      <c r="J53" s="401"/>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6" t="str">
        <f ca="1">D25</f>
        <v>Answer</v>
      </c>
      <c r="E55" s="406"/>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8"/>
      <c r="E56" s="419"/>
      <c r="F56" s="55"/>
      <c r="G56" s="399"/>
      <c r="H56" s="400"/>
      <c r="I56" s="400"/>
      <c r="J56" s="401"/>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18"/>
      <c r="E57" s="419"/>
      <c r="F57" s="55"/>
      <c r="G57" s="399"/>
      <c r="H57" s="400"/>
      <c r="I57" s="400"/>
      <c r="J57" s="401"/>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8">
        <v>1</v>
      </c>
      <c r="E58" s="419"/>
      <c r="F58" s="55"/>
      <c r="G58" s="399"/>
      <c r="H58" s="400"/>
      <c r="I58" s="400"/>
      <c r="J58" s="401"/>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8"/>
      <c r="E59" s="419"/>
      <c r="F59" s="55"/>
      <c r="G59" s="399"/>
      <c r="H59" s="400"/>
      <c r="I59" s="400"/>
      <c r="J59" s="401"/>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6" t="str">
        <f ca="1">D25</f>
        <v>Answer</v>
      </c>
      <c r="E61" s="406"/>
      <c r="F61" s="21"/>
      <c r="G61" s="52" t="str">
        <f ca="1">G25</f>
        <v>Comments</v>
      </c>
      <c r="H61" s="403"/>
      <c r="I61" s="403"/>
      <c r="J61" s="403"/>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16"/>
      <c r="E62" s="417"/>
      <c r="F62" s="55"/>
      <c r="G62" s="399"/>
      <c r="H62" s="400"/>
      <c r="I62" s="400"/>
      <c r="J62" s="401"/>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97"/>
      <c r="E63" s="398"/>
      <c r="F63" s="55"/>
      <c r="G63" s="399"/>
      <c r="H63" s="400"/>
      <c r="I63" s="400"/>
      <c r="J63" s="401"/>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7" t="s">
        <v>488</v>
      </c>
      <c r="E64" s="398"/>
      <c r="F64" s="55"/>
      <c r="G64" s="399"/>
      <c r="H64" s="400"/>
      <c r="I64" s="400"/>
      <c r="J64" s="401"/>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97"/>
      <c r="E65" s="398"/>
      <c r="F65" s="55"/>
      <c r="G65" s="399"/>
      <c r="H65" s="400"/>
      <c r="I65" s="400"/>
      <c r="J65" s="401"/>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6" t="str">
        <f ca="1">D25</f>
        <v>Answer</v>
      </c>
      <c r="E67" s="406"/>
      <c r="F67" s="21"/>
      <c r="G67" s="52" t="str">
        <f ca="1">G25</f>
        <v>Comments</v>
      </c>
      <c r="H67" s="403" t="str">
        <f>IF(Q75="(*)","Click here to enter smelter names","")</f>
        <v/>
      </c>
      <c r="I67" s="403"/>
      <c r="J67" s="403"/>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97"/>
      <c r="E68" s="398"/>
      <c r="F68" s="56"/>
      <c r="G68" s="399"/>
      <c r="H68" s="400"/>
      <c r="I68" s="400"/>
      <c r="J68" s="401"/>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97"/>
      <c r="E69" s="398"/>
      <c r="F69" s="56"/>
      <c r="G69" s="399"/>
      <c r="H69" s="400"/>
      <c r="I69" s="400"/>
      <c r="J69" s="401"/>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7" t="s">
        <v>488</v>
      </c>
      <c r="E70" s="398"/>
      <c r="F70" s="56"/>
      <c r="G70" s="399"/>
      <c r="H70" s="400"/>
      <c r="I70" s="400"/>
      <c r="J70" s="401"/>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97"/>
      <c r="E71" s="398"/>
      <c r="F71" s="58"/>
      <c r="G71" s="399"/>
      <c r="H71" s="400"/>
      <c r="I71" s="400"/>
      <c r="J71" s="401"/>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02" t="str">
        <f ca="1">OFFSET(L!$C$1,MATCH("Declaration"&amp;ADDRESS(ROW(),COLUMN(),4),L!$A:$A,0)-1,SL,,)</f>
        <v>Answer the Following Questions at a Company Level</v>
      </c>
      <c r="C73" s="402"/>
      <c r="D73" s="402"/>
      <c r="E73" s="402"/>
      <c r="F73" s="402"/>
      <c r="G73" s="402"/>
      <c r="H73" s="402"/>
      <c r="I73" s="402"/>
      <c r="J73" s="402"/>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4" t="str">
        <f ca="1">D25</f>
        <v>Answer</v>
      </c>
      <c r="E74" s="404"/>
      <c r="F74" s="61"/>
      <c r="G74" s="404" t="str">
        <f ca="1">G25</f>
        <v>Comments</v>
      </c>
      <c r="H74" s="404" t="e">
        <f>HLOOKUP(SL,LT,$O74,0)</f>
        <v>#NAME?</v>
      </c>
      <c r="I74" s="404"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7" t="s">
        <v>488</v>
      </c>
      <c r="E75" s="398"/>
      <c r="F75" s="65"/>
      <c r="G75" s="399"/>
      <c r="H75" s="400"/>
      <c r="I75" s="400"/>
      <c r="J75" s="401"/>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5"/>
      <c r="H76" s="405"/>
      <c r="I76" s="405"/>
      <c r="J76" s="405"/>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7" t="s">
        <v>489</v>
      </c>
      <c r="E77" s="398"/>
      <c r="F77" s="65"/>
      <c r="G77" s="422"/>
      <c r="H77" s="423"/>
      <c r="I77" s="423"/>
      <c r="J77" s="424"/>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7" t="s">
        <v>489</v>
      </c>
      <c r="E79" s="398"/>
      <c r="F79" s="65"/>
      <c r="G79" s="399" t="s">
        <v>15665</v>
      </c>
      <c r="H79" s="400"/>
      <c r="I79" s="400"/>
      <c r="J79" s="401"/>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7" t="s">
        <v>488</v>
      </c>
      <c r="E81" s="398"/>
      <c r="F81" s="65"/>
      <c r="G81" s="399"/>
      <c r="H81" s="400"/>
      <c r="I81" s="400"/>
      <c r="J81" s="401"/>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7" t="s">
        <v>15082</v>
      </c>
      <c r="E83" s="398"/>
      <c r="F83" s="65"/>
      <c r="G83" s="399"/>
      <c r="H83" s="400"/>
      <c r="I83" s="400"/>
      <c r="J83" s="401"/>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0" t="s">
        <v>488</v>
      </c>
      <c r="E85" s="411"/>
      <c r="F85" s="65"/>
      <c r="G85" s="399"/>
      <c r="H85" s="400"/>
      <c r="I85" s="400"/>
      <c r="J85" s="401"/>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5"/>
      <c r="H86" s="405"/>
      <c r="I86" s="405"/>
      <c r="J86" s="405"/>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7" t="s">
        <v>488</v>
      </c>
      <c r="E87" s="398"/>
      <c r="F87" s="65"/>
      <c r="G87" s="399"/>
      <c r="H87" s="400"/>
      <c r="I87" s="400"/>
      <c r="J87" s="401"/>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12"/>
      <c r="H88" s="412"/>
      <c r="I88" s="412"/>
      <c r="J88" s="41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7" t="s">
        <v>489</v>
      </c>
      <c r="E89" s="398"/>
      <c r="F89" s="65"/>
      <c r="G89" s="399"/>
      <c r="H89" s="400"/>
      <c r="I89" s="400"/>
      <c r="J89" s="401"/>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9" t="str">
        <f>IF(OR($D$8="",$I$3=""),"","Click here to check required fields completion")</f>
        <v/>
      </c>
      <c r="C90" s="409"/>
      <c r="D90" s="409"/>
      <c r="E90" s="409"/>
      <c r="F90" s="409"/>
      <c r="G90" s="409"/>
      <c r="H90" s="409"/>
      <c r="I90" s="409"/>
      <c r="J90" s="409"/>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7" t="str">
        <f ca="1">OFFSET(L!$C$1,MATCH("General"&amp;"Cpy",L!$A:$A,0)-1,SL,,)</f>
        <v>© 2022 Responsible Minerals Initiative. All rights reserved.</v>
      </c>
      <c r="B91" s="408"/>
      <c r="C91" s="408"/>
      <c r="D91" s="408"/>
      <c r="E91" s="408"/>
      <c r="F91" s="408"/>
      <c r="G91" s="408"/>
      <c r="H91" s="408"/>
      <c r="I91" s="408"/>
      <c r="J91" s="408"/>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D47:E47"/>
    <mergeCell ref="G47:J47"/>
    <mergeCell ref="D35:E35"/>
    <mergeCell ref="G38:J38"/>
    <mergeCell ref="D39:E39"/>
    <mergeCell ref="D49:E49"/>
    <mergeCell ref="G35:J35"/>
    <mergeCell ref="D25:E25"/>
    <mergeCell ref="D40:E40"/>
    <mergeCell ref="G77:J77"/>
    <mergeCell ref="A1:K1"/>
    <mergeCell ref="D2:J2"/>
    <mergeCell ref="D8:J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46:J46"/>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5" priority="69" stopIfTrue="1">
      <formula>AND(OR($D$26="No",AND($D$26="Yes",$D$32="No")),OR($D$27="No",AND($D$27="Yes",$D$33="No")),OR($D$28="No",AND($D$28="Yes",$D$34="No")),OR($D$29="No",AND($D$29="Yes",$D$35="No")))</formula>
    </cfRule>
    <cfRule type="expression" dxfId="84" priority="70" stopIfTrue="1">
      <formula>IF(D75="",TRUE)</formula>
    </cfRule>
  </conditionalFormatting>
  <conditionalFormatting sqref="G77:J77">
    <cfRule type="expression" dxfId="83" priority="41" stopIfTrue="1">
      <formula>IF(AND($D$77="Yes",$G$77=""),TRUE)</formula>
    </cfRule>
  </conditionalFormatting>
  <conditionalFormatting sqref="D26:E26">
    <cfRule type="expression" dxfId="82" priority="121" stopIfTrue="1">
      <formula>IF($D$26="",TRUE)</formula>
    </cfRule>
  </conditionalFormatting>
  <conditionalFormatting sqref="D27:E27">
    <cfRule type="expression" dxfId="81" priority="128" stopIfTrue="1">
      <formula>IF($D$27="",TRUE)</formula>
    </cfRule>
  </conditionalFormatting>
  <conditionalFormatting sqref="D28:E28">
    <cfRule type="expression" dxfId="80" priority="129" stopIfTrue="1">
      <formula>IF($D$28="",TRUE)</formula>
    </cfRule>
  </conditionalFormatting>
  <conditionalFormatting sqref="D29:E29">
    <cfRule type="expression" dxfId="79" priority="130" stopIfTrue="1">
      <formula>IF($D$29="",TRUE)</formula>
    </cfRule>
  </conditionalFormatting>
  <conditionalFormatting sqref="D9:G9">
    <cfRule type="expression" dxfId="78" priority="136" stopIfTrue="1">
      <formula>IF($D$9="",TRUE)</formula>
    </cfRule>
  </conditionalFormatting>
  <conditionalFormatting sqref="D16:J16">
    <cfRule type="expression" dxfId="77" priority="138" stopIfTrue="1">
      <formula>IF($D$16="",TRUE)</formula>
    </cfRule>
  </conditionalFormatting>
  <conditionalFormatting sqref="D22:E22">
    <cfRule type="expression" dxfId="76" priority="143" stopIfTrue="1">
      <formula>IF($D$22="",TRUE)</formula>
    </cfRule>
  </conditionalFormatting>
  <conditionalFormatting sqref="D10:J10">
    <cfRule type="expression" dxfId="75" priority="40" stopIfTrue="1">
      <formula>IF($D$9=$Q$9,TRUE)</formula>
    </cfRule>
    <cfRule type="expression" dxfId="74" priority="150" stopIfTrue="1">
      <formula>IF(AND($D$10="",$D$9=$R$9),TRUE)</formula>
    </cfRule>
  </conditionalFormatting>
  <conditionalFormatting sqref="D34:E34 D40:E40 D52:E52 D58:E58 D64:E64 D70:E70">
    <cfRule type="expression" dxfId="73" priority="33" stopIfTrue="1">
      <formula>$P$28=""</formula>
    </cfRule>
  </conditionalFormatting>
  <conditionalFormatting sqref="D35:E35 D41:E41 D53:E53 D59:E59 D65:E65 D71:E71">
    <cfRule type="expression" dxfId="72" priority="148" stopIfTrue="1">
      <formula>$P$29=""</formula>
    </cfRule>
  </conditionalFormatting>
  <conditionalFormatting sqref="D32:E32">
    <cfRule type="expression" dxfId="71" priority="126" stopIfTrue="1">
      <formula>$P$26=""</formula>
    </cfRule>
  </conditionalFormatting>
  <conditionalFormatting sqref="D32:E32">
    <cfRule type="expression" dxfId="70" priority="39" stopIfTrue="1">
      <formula>IF(AND(OR($D$26="Yes",$D$26=""),$D$32=""),1,0)</formula>
    </cfRule>
  </conditionalFormatting>
  <conditionalFormatting sqref="D38 D50 D56 D62 D68">
    <cfRule type="expression" dxfId="69" priority="35" stopIfTrue="1">
      <formula>$P$32=""</formula>
    </cfRule>
  </conditionalFormatting>
  <conditionalFormatting sqref="D39:E39 D51 D57 D63 D69">
    <cfRule type="expression" dxfId="68" priority="34" stopIfTrue="1">
      <formula>$P$33=""</formula>
    </cfRule>
  </conditionalFormatting>
  <conditionalFormatting sqref="D40 D52 D58 D64 D70">
    <cfRule type="expression" dxfId="67" priority="24" stopIfTrue="1">
      <formula>$P$34=""</formula>
    </cfRule>
    <cfRule type="expression" dxfId="66" priority="146" stopIfTrue="1">
      <formula>IF(AND(OR($D$28="Yes",$D$28=""),D40=""),1,0)</formula>
    </cfRule>
  </conditionalFormatting>
  <conditionalFormatting sqref="D41 D53 D59 D65 D71">
    <cfRule type="expression" dxfId="65" priority="32" stopIfTrue="1">
      <formula>$P$35=""</formula>
    </cfRule>
  </conditionalFormatting>
  <conditionalFormatting sqref="D38:E38 D50:E50 D56:E56 D62:E62 D68:E68">
    <cfRule type="expression" dxfId="64" priority="37" stopIfTrue="1">
      <formula>$P$26=""</formula>
    </cfRule>
    <cfRule type="expression" dxfId="63" priority="38" stopIfTrue="1">
      <formula>IF(AND(OR($D$26="Yes",$D$26=""),D38=""),1,0)</formula>
    </cfRule>
  </conditionalFormatting>
  <conditionalFormatting sqref="G85:J85">
    <cfRule type="expression" dxfId="62" priority="31" stopIfTrue="1">
      <formula>IF(AND($D$85="Yes, using other format (describe)",$G$85=""),TRUE)</formula>
    </cfRule>
  </conditionalFormatting>
  <conditionalFormatting sqref="D39:E39 D51:E51 D57:E57 D63:E63 D69:E69">
    <cfRule type="expression" dxfId="61" priority="144" stopIfTrue="1">
      <formula>$P$39=""</formula>
    </cfRule>
    <cfRule type="expression" dxfId="60" priority="145" stopIfTrue="1">
      <formula>IF(AND(OR($D$27="Yes",$D$27=""),D39=""),1,0)</formula>
    </cfRule>
  </conditionalFormatting>
  <conditionalFormatting sqref="D33:E33">
    <cfRule type="expression" dxfId="59" priority="26" stopIfTrue="1">
      <formula>IF(AND(OR($D$27="Yes",$D$27=""),$D$33=""),1,0)</formula>
    </cfRule>
    <cfRule type="expression" dxfId="58" priority="27" stopIfTrue="1">
      <formula>$P$27=""</formula>
    </cfRule>
  </conditionalFormatting>
  <conditionalFormatting sqref="D34:E34">
    <cfRule type="expression" dxfId="57" priority="147" stopIfTrue="1">
      <formula>IF(AND(OR($D$28="Yes",$D$28=""),$D$34=""),1,0)</formula>
    </cfRule>
  </conditionalFormatting>
  <conditionalFormatting sqref="D41:E41 D53:E53 D59:E59 D65:E65 D71:E71">
    <cfRule type="expression" dxfId="56" priority="149" stopIfTrue="1">
      <formula>IF(AND(OR($D$29="Yes",$D$29=""),D41=""),1,0)</formula>
    </cfRule>
  </conditionalFormatting>
  <conditionalFormatting sqref="D35:E35">
    <cfRule type="expression" dxfId="55" priority="23" stopIfTrue="1">
      <formula>IF(AND(OR($D$29="Yes",$D$29=""),$D$35=""),1,0)</formula>
    </cfRule>
  </conditionalFormatting>
  <conditionalFormatting sqref="D20:J20">
    <cfRule type="expression" dxfId="54" priority="19" stopIfTrue="1">
      <formula>IF($D$20="",TRUE)</formula>
    </cfRule>
  </conditionalFormatting>
  <conditionalFormatting sqref="D46:E46">
    <cfRule type="expression" dxfId="53" priority="9" stopIfTrue="1">
      <formula>$P$28=""</formula>
    </cfRule>
  </conditionalFormatting>
  <conditionalFormatting sqref="D47:E47">
    <cfRule type="expression" dxfId="52" priority="17" stopIfTrue="1">
      <formula>$P$29=""</formula>
    </cfRule>
  </conditionalFormatting>
  <conditionalFormatting sqref="D44">
    <cfRule type="expression" dxfId="51" priority="11" stopIfTrue="1">
      <formula>$P$32=""</formula>
    </cfRule>
  </conditionalFormatting>
  <conditionalFormatting sqref="D45">
    <cfRule type="expression" dxfId="50" priority="10" stopIfTrue="1">
      <formula>$P$33=""</formula>
    </cfRule>
  </conditionalFormatting>
  <conditionalFormatting sqref="D46">
    <cfRule type="expression" dxfId="49" priority="7" stopIfTrue="1">
      <formula>$P$34=""</formula>
    </cfRule>
    <cfRule type="expression" dxfId="48" priority="16" stopIfTrue="1">
      <formula>IF(AND(OR($D$28="Yes",$D$28=""),D46=""),1,0)</formula>
    </cfRule>
  </conditionalFormatting>
  <conditionalFormatting sqref="D47">
    <cfRule type="expression" dxfId="47" priority="8" stopIfTrue="1">
      <formula>$P$35=""</formula>
    </cfRule>
  </conditionalFormatting>
  <conditionalFormatting sqref="D44:E44">
    <cfRule type="expression" dxfId="46" priority="12" stopIfTrue="1">
      <formula>$P$26=""</formula>
    </cfRule>
    <cfRule type="expression" dxfId="45" priority="13" stopIfTrue="1">
      <formula>IF(AND(OR($D$26="Yes",$D$26=""),D44=""),1,0)</formula>
    </cfRule>
  </conditionalFormatting>
  <conditionalFormatting sqref="D45:E45">
    <cfRule type="expression" dxfId="44" priority="14" stopIfTrue="1">
      <formula>$P$39=""</formula>
    </cfRule>
    <cfRule type="expression" dxfId="43" priority="15" stopIfTrue="1">
      <formula>IF(AND(OR($D$27="Yes",$D$27=""),D45=""),1,0)</formula>
    </cfRule>
  </conditionalFormatting>
  <conditionalFormatting sqref="D47:E47">
    <cfRule type="expression" dxfId="42" priority="18" stopIfTrue="1">
      <formula>IF(AND(OR($D$29="Yes",$D$29=""),D47=""),1,0)</formula>
    </cfRule>
  </conditionalFormatting>
  <conditionalFormatting sqref="D8:J8">
    <cfRule type="expression" dxfId="41" priority="5" stopIfTrue="1">
      <formula>IF($D$8="",TRUE)</formula>
    </cfRule>
  </conditionalFormatting>
  <conditionalFormatting sqref="D15:J15">
    <cfRule type="expression" dxfId="40" priority="4" stopIfTrue="1">
      <formula>IF($D$15="",TRUE)</formula>
    </cfRule>
  </conditionalFormatting>
  <conditionalFormatting sqref="D17:J17">
    <cfRule type="expression" dxfId="39" priority="3" stopIfTrue="1">
      <formula>IF($D$17="",TRUE)</formula>
    </cfRule>
  </conditionalFormatting>
  <conditionalFormatting sqref="D18:J18">
    <cfRule type="expression" dxfId="38" priority="2" stopIfTrue="1">
      <formula>IF($D$18="",TRUE)</formula>
    </cfRule>
  </conditionalFormatting>
  <conditionalFormatting sqref="D21:J21">
    <cfRule type="expression" dxfId="37"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F58FDC8-F065-4F22-BA69-B4BA36F42929}"/>
    <hyperlink ref="D20" r:id="rId4" xr:uid="{A4278BEC-B8BC-43C7-BBEE-FB1B653EA3B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Q7" sqref="Q7"/>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2" t="str">
        <f ca="1">OFFSET(L!$C$1,MATCH("Smelter List"&amp;ADDRESS(ROW(),COLUMN(),4),L!$A:$A,0)-1,SL,,)</f>
        <v>Link to "RMAP Conformant Smelter List"</v>
      </c>
      <c r="K2" s="453"/>
      <c r="L2" s="453"/>
      <c r="M2" s="453"/>
      <c r="N2" s="453"/>
      <c r="O2" s="453"/>
      <c r="P2" s="224"/>
      <c r="Q2" s="225"/>
      <c r="R2" s="226"/>
      <c r="S2" s="226"/>
      <c r="T2" s="226"/>
      <c r="U2" s="254"/>
      <c r="V2" s="254"/>
      <c r="W2" s="255"/>
      <c r="X2" s="254"/>
      <c r="Y2" s="254"/>
      <c r="Z2" s="254"/>
      <c r="AH2" s="167" t="s">
        <v>488</v>
      </c>
    </row>
    <row r="3" spans="1:34" s="256" customFormat="1" ht="173.45" customHeight="1">
      <c r="A3" s="195"/>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57"/>
      <c r="G3" s="455" t="str">
        <f ca="1">OFFSET(L!$C$1,MATCH("General"&amp;"Cpy",L!$A:$A,0)-1,SL,,)</f>
        <v>© 2022 Responsible Minerals Initiative. All rights reserved.</v>
      </c>
      <c r="H3" s="455"/>
      <c r="I3" s="456"/>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15668</v>
      </c>
      <c r="B5" s="208" t="str">
        <f ca="1">IF(LEN(A5)=0,"",INDEX('Smelter Look-up'!$A:$A,MATCH($A5,'Smelter Look-up'!$E:$E,0)))</f>
        <v>Gold</v>
      </c>
      <c r="C5" s="212" t="str">
        <f ca="1">IF(LEN(A5)=0,"",INDEX('Smelter Look-up'!$C:$C,MATCH($A5,'Smelter Look-up'!$E:$E,0)))</f>
        <v>Metalor USA Refining Corporation</v>
      </c>
      <c r="D5" s="270"/>
      <c r="E5" s="208" t="str">
        <f ca="1">IF(ISERROR($V5),"",OFFSET('Smelter Look-up'!$D$4,$V5-4,0)&amp;"")</f>
        <v>UNITED STATES OF AMERICA</v>
      </c>
      <c r="F5" s="208" t="str">
        <f ca="1">IF(ISERROR($V5),"",OFFSET('Smelter Look-up'!$E$4,$V5-4,0))</f>
        <v>CID001157</v>
      </c>
      <c r="G5" s="208" t="str">
        <f ca="1">IF(C5=$X$4,IF(ISERROR($V5),"Enter smelter details","RMI"),IF(ISERROR($V5),"",OFFSET('Smelter Look-up'!$F$4,$V5-4,0)))</f>
        <v>RMI</v>
      </c>
      <c r="H5" s="359" t="s">
        <v>15669</v>
      </c>
      <c r="I5" s="210" t="str">
        <f ca="1">IF(ISERROR($V5),"",OFFSET('Smelter Look-up'!$H$4,$V5-4,0))</f>
        <v>North Attleboro</v>
      </c>
      <c r="J5" s="210" t="str">
        <f ca="1">IF(ISERROR($V5),"",OFFSET('Smelter Look-up'!$I$4,$V5-4,0))</f>
        <v>Massachusetts</v>
      </c>
      <c r="K5" s="360" t="s">
        <v>15670</v>
      </c>
      <c r="L5" s="361" t="s">
        <v>15671</v>
      </c>
      <c r="M5" s="260"/>
      <c r="N5" s="362" t="s">
        <v>15672</v>
      </c>
      <c r="O5" s="363" t="s">
        <v>15672</v>
      </c>
      <c r="P5" s="211" t="s">
        <v>489</v>
      </c>
      <c r="Q5" s="261" t="s">
        <v>15667</v>
      </c>
      <c r="R5" s="208" t="str">
        <f ca="1">IF(ISERROR($V5),"",OFFSET('Smelter Look-up'!$C$4,$V5-4,0)&amp;"")</f>
        <v>Metalor USA Refining Corporation</v>
      </c>
      <c r="S5" s="215" t="str">
        <f t="shared" ref="S5" ca="1" si="0">IF(B5="","",IF(ISERROR(MATCH($E5,CL,0)),"Unknown",INDIRECT("'C'!$A$"&amp;MATCH($E5,CL,0)+1)))</f>
        <v>US</v>
      </c>
      <c r="T5" s="215" t="str">
        <f ca="1">IF(B5="","",IF(ISERROR(MATCH($J5,SorP!$B$1:$B$6230,0)),"",INDIRECT("'SorP'!$A$"&amp;MATCH($J5,SorP!$B$1:$B$6230,0))))</f>
        <v>US-MA</v>
      </c>
      <c r="U5" s="231"/>
      <c r="V5" s="262">
        <f ca="1">IF(C5="",NA(),IF(OR(C5="Smelter not listed",C5="Smelter not yet identified"),MATCH($B5&amp;$D5,'Smelter Look-up'!$J:$J,0),MATCH($B5&amp;$C5,'Smelter Look-up'!$J:$J,0)))</f>
        <v>177</v>
      </c>
      <c r="W5" s="263"/>
      <c r="X5" s="263">
        <f t="shared" ref="X5" ca="1" si="1">IF(AND(C5="Smelter not listed",OR(LEN(D5)=0,LEN(E5)=0)),1,0)</f>
        <v>0</v>
      </c>
      <c r="Y5" s="263"/>
      <c r="Z5" s="263"/>
      <c r="AB5" s="265" t="str">
        <f t="shared" ref="AB5" ca="1" si="2">B5&amp;C5</f>
        <v>GoldMetalor USA Refining Corporation</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DDE6DBD-945B-4993-9511-37538B190278}"/>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Precious Metal Sales,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Krista Upson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krista@pmsalesinc.com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8602748813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Anthony Luccaro</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here4u@pmsalesinc.com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0</v>
      </c>
      <c r="G66" s="78">
        <f ca="1">IF(AND(COUNTIF(SmelterIdetifiedForMetal,"Tin")&gt;0,COUNTIF('Smelter List'!AB$5:AB$2504,"Tin?*")&gt;0),0,1)</f>
        <v>1</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9" t="str">
        <f ca="1">OFFSET(L!$C$1,MATCH("Product List"&amp;ADDRESS(ROW(),COLUMN(),4),L!$A:$A,0)-1,SL,,)</f>
        <v>Completion required only if reporting level "Product (or List of Products)" selected on the 'Declaration' worksheet.</v>
      </c>
      <c r="B1" s="460"/>
      <c r="C1" s="460"/>
      <c r="D1" s="460"/>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8" t="s">
        <v>898</v>
      </c>
      <c r="C4" s="458"/>
      <c r="D4" s="458"/>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1" t="str">
        <f ca="1">OFFSET(L!$C$1,MATCH("General"&amp;"Cpy",L!$A:$A,0)-1,SL,,)</f>
        <v>© 2022 Responsible Minerals Initiative. All rights reserved.</v>
      </c>
      <c r="C2006" s="461"/>
      <c r="D2006" s="461"/>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Fllonxa Dalipi</cp:lastModifiedBy>
  <cp:lastPrinted>2015-04-21T20:47:43Z</cp:lastPrinted>
  <dcterms:created xsi:type="dcterms:W3CDTF">2010-06-21T21:00:23Z</dcterms:created>
  <dcterms:modified xsi:type="dcterms:W3CDTF">2022-06-24T15:10:11Z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